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ctrlProps/ctrlProps10.xml" ContentType="application/vnd.ms-excel.controlproperties+xml"/>
  <Override PartName="/xl/ctrlProps/ctrlProps5.xml" ContentType="application/vnd.ms-excel.contro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trlProps/ctrlProps4.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trlProps/ctrlProps2.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trlProps/ctrlProps9.xml" ContentType="application/vnd.ms-excel.controlproperties+xml"/>
  <Override PartName="/xl/worksheets/sheet17.xml" ContentType="application/vnd.openxmlformats-officedocument.spreadsheetml.worksheet+xml"/>
  <Override PartName="/xl/worksheets/sheet18.xml" ContentType="application/vnd.openxmlformats-officedocument.spreadsheetml.worksheet+xml"/>
  <Override PartName="/xl/ctrlProps/ctrlProps8.xml" ContentType="application/vnd.ms-excel.controlproperties+xml"/>
  <Override PartName="/xl/ctrlProps/ctrlProps7.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Hinweise" sheetId="1" r:id="rId1"/>
    <sheet name="Eingabetabelle" sheetId="2" r:id="rId2"/>
    <sheet name="Zusatzeingaben" sheetId="3" state="hidden" r:id="rId3"/>
    <sheet name="Berechnung" sheetId="4" r:id="rId4"/>
    <sheet name="Wohngeld" sheetId="5" state="hidden" r:id="rId5"/>
    <sheet name="Kinderzuschlag" sheetId="6" state="hidden" r:id="rId6"/>
    <sheet name="Gutschein" sheetId="7" state="hidden" r:id="rId7"/>
    <sheet name="ZuschussKV" sheetId="8" state="hidden" r:id="rId8"/>
    <sheet name="Z" sheetId="9" state="hidden" r:id="rId9"/>
    <sheet name="einmaligesEK" sheetId="10" state="hidden" r:id="rId10"/>
    <sheet name="Berechnung mit Einmalzahlung" sheetId="11" state="hidden" r:id="rId11"/>
    <sheet name="EingabenÄnderungen" sheetId="12" state="hidden" r:id="rId12"/>
    <sheet name="Änderung" sheetId="13" state="hidden" r:id="rId13"/>
    <sheet name="Aufteilung" sheetId="14" state="hidden" r:id="rId14"/>
    <sheet name="Bedarfssätze" sheetId="15" state="hidden" r:id="rId15"/>
    <sheet name="A" sheetId="16" state="hidden" r:id="rId16"/>
    <sheet name="B" sheetId="17" state="hidden" r:id="rId17"/>
    <sheet name="AB" sheetId="18" state="hidden" r:id="rId18"/>
    <sheet name="Gemeindetabelle" sheetId="19" state="hidden" r:id="rId19"/>
    <sheet name="Rechenwerte WG" sheetId="20" state="hidden" r:id="rId20"/>
    <sheet name="§ 26" sheetId="21" state="hidden" r:id="rId21"/>
  </sheets>
  <definedNames>
    <definedName name="BaWü">Gemeindetabelle!$A$3:$C$294</definedName>
    <definedName name="Bayern">Gemeindetabelle!$D$3:$F$302</definedName>
    <definedName name="Bedarfsstufen">Eingabetabelle!$B$3:$D$8</definedName>
    <definedName name="Berlin">Gemeindetabelle!$G$3:$I$3</definedName>
    <definedName name="Brandenburg">Gemeindetabelle!$J$3:$L$84</definedName>
    <definedName name="Bremen">Gemeindetabelle!$M$3:$O$4</definedName>
    <definedName name="_xlnm.Print_Area" localSheetId="3">Berechnung!$A$1:$I$163</definedName>
    <definedName name="_xlnm.Print_Area" localSheetId="1">Eingabetabelle!$A$16:$J$170</definedName>
    <definedName name="_xlnm.Print_Area" localSheetId="2">Zusatzeingaben!$A$1:$I$237</definedName>
    <definedName name="Ehrenamt">Zusatzeingaben!$C$244</definedName>
    <definedName name="Ernährung">Bedarfssätze!$B$43:$E$59</definedName>
    <definedName name="Gemeinden">Zusatzeingaben!$A$683:$B$1047</definedName>
    <definedName name="Hamburg">Gemeindetabelle!$P$3:$R$3</definedName>
    <definedName name="Hessen">Gemeindetabelle!$S$3:$U$194</definedName>
    <definedName name="Jahreszahl">Wohngeld!$A$60</definedName>
    <definedName name="Kinderzuschlag">Berechnung!$U$2:$AC$31</definedName>
    <definedName name="KKinderzuschlag">Berechnung!$U$2:$AC$31</definedName>
    <definedName name="KVZuschlag">'§ 26'!$A$2:$G$62</definedName>
    <definedName name="MeckPom">Gemeindetabelle!$V$3:$X$29</definedName>
    <definedName name="Mietstufen">Zusatzeingaben!$A$683:$B$1047</definedName>
    <definedName name="Niedersachsen">Gemeindetabelle!$Y$3:$AA$244</definedName>
    <definedName name="NRW">Gemeindetabelle!$AB$3:$AD$361</definedName>
    <definedName name="RLP">Gemeindetabelle!$AE$3:$AG$72</definedName>
    <definedName name="Saanhalt">Gemeindetabelle!$AN$3:$AP$71</definedName>
    <definedName name="Saarland">Gemeindetabelle!$AH$3:$AJ$48</definedName>
    <definedName name="Sachsen">Gemeindetabelle!$AK$3:$AM$81</definedName>
    <definedName name="Schleswig">Gemeindetabelle!$AQ$3:$AS$68</definedName>
    <definedName name="Thüringen">Gemeindetabelle!$AT$3:$AV$52</definedName>
    <definedName name="VersPausch">Eingabetabelle!$B$67</definedName>
    <definedName name="Wohngeld">Berechnung!$K$2:$S$56</definedName>
    <definedName name="Wohngeldabzug">Zusatzeingaben!$A$271:$I$280</definedName>
    <definedName name="WWPauschale">Eingabetabelle!$C$54</definedName>
    <definedName name="Zuschuss§26">Berechnung!$AE$2:$AK$59</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197" i="3"/>
  <c r="D34" s="1"/>
  <c r="E22" i="2" s="1"/>
  <c r="E31" i="21"/>
  <c r="D31"/>
  <c r="C31"/>
  <c r="G26"/>
  <c r="G57" s="1"/>
  <c r="F26"/>
  <c r="F57" s="1"/>
  <c r="E26"/>
  <c r="E57" s="1"/>
  <c r="D26"/>
  <c r="D57" s="1"/>
  <c r="C26"/>
  <c r="C57" s="1"/>
  <c r="G24"/>
  <c r="G51" s="1"/>
  <c r="F24"/>
  <c r="F51" s="1"/>
  <c r="E24"/>
  <c r="E51" s="1"/>
  <c r="D24"/>
  <c r="D51" s="1"/>
  <c r="C24"/>
  <c r="C51" s="1"/>
  <c r="G23"/>
  <c r="G50" s="1"/>
  <c r="F23"/>
  <c r="F50" s="1"/>
  <c r="E23"/>
  <c r="D23"/>
  <c r="C23"/>
  <c r="C50" s="1"/>
  <c r="G20"/>
  <c r="G19" s="1"/>
  <c r="G42" s="1"/>
  <c r="F20"/>
  <c r="E20"/>
  <c r="D20"/>
  <c r="D19" s="1"/>
  <c r="D42" s="1"/>
  <c r="C20"/>
  <c r="C19" s="1"/>
  <c r="C42" s="1"/>
  <c r="G16"/>
  <c r="F16"/>
  <c r="F18" s="1"/>
  <c r="E16"/>
  <c r="D16"/>
  <c r="D18" s="1"/>
  <c r="C16"/>
  <c r="G15"/>
  <c r="G34" s="1"/>
  <c r="F15"/>
  <c r="F34" s="1"/>
  <c r="E15"/>
  <c r="E34" s="1"/>
  <c r="D15"/>
  <c r="C15"/>
  <c r="C34" s="1"/>
  <c r="G11"/>
  <c r="F11"/>
  <c r="E11"/>
  <c r="D11"/>
  <c r="C11"/>
  <c r="G7"/>
  <c r="F7"/>
  <c r="E7"/>
  <c r="D7"/>
  <c r="C7"/>
  <c r="E6"/>
  <c r="D6"/>
  <c r="C6"/>
  <c r="B4"/>
  <c r="C45" i="20"/>
  <c r="C44"/>
  <c r="C43"/>
  <c r="C42"/>
  <c r="C41"/>
  <c r="C40"/>
  <c r="C39"/>
  <c r="I35"/>
  <c r="F35"/>
  <c r="C35"/>
  <c r="I34"/>
  <c r="F34"/>
  <c r="C34"/>
  <c r="I33"/>
  <c r="F33"/>
  <c r="C33"/>
  <c r="I32"/>
  <c r="F32"/>
  <c r="C32"/>
  <c r="I31"/>
  <c r="F31"/>
  <c r="C31"/>
  <c r="I30"/>
  <c r="F30"/>
  <c r="C30"/>
  <c r="I29"/>
  <c r="F29"/>
  <c r="C29"/>
  <c r="I25"/>
  <c r="F25"/>
  <c r="C25"/>
  <c r="I24"/>
  <c r="F24"/>
  <c r="C24"/>
  <c r="I23"/>
  <c r="F23"/>
  <c r="C23"/>
  <c r="I22"/>
  <c r="F22"/>
  <c r="C22"/>
  <c r="I21"/>
  <c r="F21"/>
  <c r="C21"/>
  <c r="I20"/>
  <c r="F20"/>
  <c r="C20"/>
  <c r="I19"/>
  <c r="F19"/>
  <c r="C19"/>
  <c r="G15"/>
  <c r="E15"/>
  <c r="C15"/>
  <c r="G14"/>
  <c r="E14"/>
  <c r="C14"/>
  <c r="G13"/>
  <c r="E13"/>
  <c r="C13"/>
  <c r="G12"/>
  <c r="E12"/>
  <c r="C12"/>
  <c r="G11"/>
  <c r="E11"/>
  <c r="C11"/>
  <c r="G10"/>
  <c r="E10"/>
  <c r="C10"/>
  <c r="G9"/>
  <c r="E9"/>
  <c r="C9"/>
  <c r="G225" i="18"/>
  <c r="F225"/>
  <c r="I223"/>
  <c r="H223"/>
  <c r="G223"/>
  <c r="F223"/>
  <c r="E223"/>
  <c r="D223"/>
  <c r="C223"/>
  <c r="A223"/>
  <c r="E222"/>
  <c r="D222"/>
  <c r="C222"/>
  <c r="I218"/>
  <c r="I220" s="1"/>
  <c r="I221" s="1"/>
  <c r="H218"/>
  <c r="H220" s="1"/>
  <c r="H221" s="1"/>
  <c r="G218"/>
  <c r="G220" s="1"/>
  <c r="G221" s="1"/>
  <c r="F218"/>
  <c r="F220" s="1"/>
  <c r="F221" s="1"/>
  <c r="E218"/>
  <c r="D218"/>
  <c r="D220" s="1"/>
  <c r="C218"/>
  <c r="C219" s="1"/>
  <c r="I217"/>
  <c r="H217"/>
  <c r="G217"/>
  <c r="F217"/>
  <c r="E217"/>
  <c r="D217"/>
  <c r="C217"/>
  <c r="I200"/>
  <c r="H200"/>
  <c r="G200"/>
  <c r="F200"/>
  <c r="E200"/>
  <c r="D200"/>
  <c r="C200"/>
  <c r="D195"/>
  <c r="D70" i="11" s="1"/>
  <c r="D190" i="18"/>
  <c r="C190"/>
  <c r="C67" i="11" s="1"/>
  <c r="F184" i="18"/>
  <c r="E184"/>
  <c r="D184"/>
  <c r="C184"/>
  <c r="F182"/>
  <c r="E182"/>
  <c r="D182"/>
  <c r="C182"/>
  <c r="F180"/>
  <c r="E180"/>
  <c r="D180"/>
  <c r="C180"/>
  <c r="F179"/>
  <c r="F181" s="1"/>
  <c r="F183" s="1"/>
  <c r="E179"/>
  <c r="E181" s="1"/>
  <c r="E183" s="1"/>
  <c r="D179"/>
  <c r="D181" s="1"/>
  <c r="D183" s="1"/>
  <c r="C179"/>
  <c r="C181" s="1"/>
  <c r="C183" s="1"/>
  <c r="I176"/>
  <c r="H176"/>
  <c r="G176"/>
  <c r="F176"/>
  <c r="E176"/>
  <c r="I166"/>
  <c r="H166"/>
  <c r="G166"/>
  <c r="F166"/>
  <c r="E166"/>
  <c r="D166"/>
  <c r="C166"/>
  <c r="I165"/>
  <c r="I167" s="1"/>
  <c r="H165"/>
  <c r="H167" s="1"/>
  <c r="G165"/>
  <c r="G167" s="1"/>
  <c r="F165"/>
  <c r="F167" s="1"/>
  <c r="E165"/>
  <c r="E167" s="1"/>
  <c r="D165"/>
  <c r="D167" s="1"/>
  <c r="C165"/>
  <c r="C167" s="1"/>
  <c r="I142"/>
  <c r="H142"/>
  <c r="G142"/>
  <c r="F142"/>
  <c r="E142"/>
  <c r="D142"/>
  <c r="C142"/>
  <c r="I139"/>
  <c r="I62" i="11" s="1"/>
  <c r="H139" i="18"/>
  <c r="H62" i="11" s="1"/>
  <c r="G139" i="18"/>
  <c r="F139"/>
  <c r="F62" i="11" s="1"/>
  <c r="I136" i="18"/>
  <c r="I146" s="1"/>
  <c r="H136"/>
  <c r="H153" s="1"/>
  <c r="G136"/>
  <c r="F136"/>
  <c r="F153" s="1"/>
  <c r="E136"/>
  <c r="E146" s="1"/>
  <c r="D136"/>
  <c r="D153" s="1"/>
  <c r="C136"/>
  <c r="I134"/>
  <c r="H134"/>
  <c r="G134"/>
  <c r="F134"/>
  <c r="E134"/>
  <c r="D134"/>
  <c r="C134"/>
  <c r="I129"/>
  <c r="I130" s="1"/>
  <c r="H129"/>
  <c r="H130" s="1"/>
  <c r="G129"/>
  <c r="G130" s="1"/>
  <c r="F129"/>
  <c r="F130" s="1"/>
  <c r="E129"/>
  <c r="E130" s="1"/>
  <c r="D129"/>
  <c r="D130" s="1"/>
  <c r="C129"/>
  <c r="C130" s="1"/>
  <c r="E120"/>
  <c r="D120"/>
  <c r="C120"/>
  <c r="I117"/>
  <c r="I49" i="11" s="1"/>
  <c r="H117" i="18"/>
  <c r="H49" i="11" s="1"/>
  <c r="G117" i="18"/>
  <c r="G49" i="11" s="1"/>
  <c r="F117" i="18"/>
  <c r="F49" i="11" s="1"/>
  <c r="B107" i="18"/>
  <c r="B106"/>
  <c r="B104"/>
  <c r="I99"/>
  <c r="H99"/>
  <c r="G99"/>
  <c r="F99"/>
  <c r="E99"/>
  <c r="D99"/>
  <c r="I79"/>
  <c r="I35"/>
  <c r="H35"/>
  <c r="G35"/>
  <c r="F35"/>
  <c r="E35"/>
  <c r="I167" i="17"/>
  <c r="H167"/>
  <c r="G167"/>
  <c r="F167"/>
  <c r="E167"/>
  <c r="D167"/>
  <c r="C167"/>
  <c r="I153"/>
  <c r="H153"/>
  <c r="G153"/>
  <c r="F153"/>
  <c r="E153"/>
  <c r="D153"/>
  <c r="C153"/>
  <c r="E126"/>
  <c r="D126"/>
  <c r="C126"/>
  <c r="I120"/>
  <c r="H120"/>
  <c r="G120"/>
  <c r="B67"/>
  <c r="I65"/>
  <c r="H65"/>
  <c r="G65"/>
  <c r="F65"/>
  <c r="E65"/>
  <c r="D65"/>
  <c r="D62"/>
  <c r="C62"/>
  <c r="I57"/>
  <c r="H57"/>
  <c r="G57"/>
  <c r="F57"/>
  <c r="E53"/>
  <c r="D53"/>
  <c r="C53"/>
  <c r="I49"/>
  <c r="H49"/>
  <c r="G49"/>
  <c r="F49"/>
  <c r="A25"/>
  <c r="I7"/>
  <c r="H7"/>
  <c r="G7"/>
  <c r="F7"/>
  <c r="E7"/>
  <c r="D7"/>
  <c r="C7"/>
  <c r="E6"/>
  <c r="D6"/>
  <c r="C6"/>
  <c r="B3"/>
  <c r="I1"/>
  <c r="I167" i="16"/>
  <c r="H167"/>
  <c r="G167"/>
  <c r="F167"/>
  <c r="E167"/>
  <c r="D167"/>
  <c r="C167"/>
  <c r="I153"/>
  <c r="H153"/>
  <c r="G153"/>
  <c r="F153"/>
  <c r="E153"/>
  <c r="D153"/>
  <c r="C153"/>
  <c r="E126"/>
  <c r="D126"/>
  <c r="C126"/>
  <c r="I120"/>
  <c r="H120"/>
  <c r="G120"/>
  <c r="B67"/>
  <c r="I65"/>
  <c r="H65"/>
  <c r="G65"/>
  <c r="F65"/>
  <c r="E65"/>
  <c r="D65"/>
  <c r="D62"/>
  <c r="C62"/>
  <c r="I57"/>
  <c r="H57"/>
  <c r="G57"/>
  <c r="F57"/>
  <c r="E53"/>
  <c r="D53"/>
  <c r="C53"/>
  <c r="I49"/>
  <c r="H49"/>
  <c r="G49"/>
  <c r="F49"/>
  <c r="A25"/>
  <c r="I7"/>
  <c r="H7"/>
  <c r="G7"/>
  <c r="F7"/>
  <c r="E7"/>
  <c r="D7"/>
  <c r="C7"/>
  <c r="E6"/>
  <c r="D6"/>
  <c r="C6"/>
  <c r="B3"/>
  <c r="I1"/>
  <c r="H140" i="15"/>
  <c r="D140"/>
  <c r="H139"/>
  <c r="D139"/>
  <c r="H138"/>
  <c r="D138"/>
  <c r="H137"/>
  <c r="D137"/>
  <c r="H136"/>
  <c r="D136"/>
  <c r="H135"/>
  <c r="H134"/>
  <c r="D134"/>
  <c r="H133"/>
  <c r="D133"/>
  <c r="H132"/>
  <c r="D132"/>
  <c r="I26" i="14"/>
  <c r="H26"/>
  <c r="G26"/>
  <c r="F26"/>
  <c r="E26"/>
  <c r="D26"/>
  <c r="C26"/>
  <c r="I15"/>
  <c r="H15"/>
  <c r="G15"/>
  <c r="F15"/>
  <c r="E15"/>
  <c r="D15"/>
  <c r="C15"/>
  <c r="B2"/>
  <c r="I188" i="13"/>
  <c r="H188"/>
  <c r="G188"/>
  <c r="F188"/>
  <c r="E188"/>
  <c r="D188"/>
  <c r="C188"/>
  <c r="I168"/>
  <c r="H168"/>
  <c r="G168"/>
  <c r="F168"/>
  <c r="E168"/>
  <c r="D168"/>
  <c r="C168"/>
  <c r="I120"/>
  <c r="H120"/>
  <c r="G120"/>
  <c r="B67"/>
  <c r="I65"/>
  <c r="H65"/>
  <c r="G65"/>
  <c r="F65"/>
  <c r="E65"/>
  <c r="A25"/>
  <c r="D224" i="12"/>
  <c r="C224"/>
  <c r="E222"/>
  <c r="D222"/>
  <c r="C222"/>
  <c r="I218"/>
  <c r="I220" s="1"/>
  <c r="I221" s="1"/>
  <c r="I156" i="13" s="1"/>
  <c r="H218" i="12"/>
  <c r="H220" s="1"/>
  <c r="H221" s="1"/>
  <c r="H156" i="13" s="1"/>
  <c r="G218" i="12"/>
  <c r="G219" s="1"/>
  <c r="F218"/>
  <c r="F219" s="1"/>
  <c r="E218"/>
  <c r="E219" s="1"/>
  <c r="D218"/>
  <c r="D220" s="1"/>
  <c r="C218"/>
  <c r="C219" s="1"/>
  <c r="I217"/>
  <c r="I153" i="13" s="1"/>
  <c r="H217" i="12"/>
  <c r="H153" i="13" s="1"/>
  <c r="G217" i="12"/>
  <c r="G153" i="13" s="1"/>
  <c r="F217" i="12"/>
  <c r="F153" i="13" s="1"/>
  <c r="E217" i="12"/>
  <c r="E153" i="13" s="1"/>
  <c r="D217" i="12"/>
  <c r="D153" i="13" s="1"/>
  <c r="C217" i="12"/>
  <c r="C153" i="13" s="1"/>
  <c r="A215" i="12"/>
  <c r="F205"/>
  <c r="E205"/>
  <c r="D205"/>
  <c r="C205"/>
  <c r="I200"/>
  <c r="H200"/>
  <c r="G200"/>
  <c r="F200"/>
  <c r="A197"/>
  <c r="D195"/>
  <c r="A194"/>
  <c r="A191"/>
  <c r="D190"/>
  <c r="D62" i="13" s="1"/>
  <c r="C190" i="12"/>
  <c r="C62" i="13" s="1"/>
  <c r="F184" i="12"/>
  <c r="E184"/>
  <c r="D184"/>
  <c r="C184"/>
  <c r="F182"/>
  <c r="E182"/>
  <c r="D182"/>
  <c r="C182"/>
  <c r="F180"/>
  <c r="E180"/>
  <c r="D180"/>
  <c r="C180"/>
  <c r="F179"/>
  <c r="F181" s="1"/>
  <c r="F183" s="1"/>
  <c r="E179"/>
  <c r="E181" s="1"/>
  <c r="E183" s="1"/>
  <c r="D179"/>
  <c r="D181" s="1"/>
  <c r="D183" s="1"/>
  <c r="C179"/>
  <c r="C181" s="1"/>
  <c r="C183" s="1"/>
  <c r="A178"/>
  <c r="I176"/>
  <c r="H176"/>
  <c r="G176"/>
  <c r="F176"/>
  <c r="E176"/>
  <c r="I166"/>
  <c r="H166"/>
  <c r="G166"/>
  <c r="F166"/>
  <c r="E166"/>
  <c r="D166"/>
  <c r="C166"/>
  <c r="I165"/>
  <c r="I167" s="1"/>
  <c r="H165"/>
  <c r="H167" s="1"/>
  <c r="G165"/>
  <c r="G167" s="1"/>
  <c r="F165"/>
  <c r="F167" s="1"/>
  <c r="E165"/>
  <c r="E167" s="1"/>
  <c r="D165"/>
  <c r="D167" s="1"/>
  <c r="C165"/>
  <c r="C167" s="1"/>
  <c r="I142"/>
  <c r="H142"/>
  <c r="G142"/>
  <c r="F142"/>
  <c r="E142"/>
  <c r="D142"/>
  <c r="C142"/>
  <c r="I139"/>
  <c r="I57" i="13" s="1"/>
  <c r="H139" i="12"/>
  <c r="H57" i="13" s="1"/>
  <c r="G139" i="12"/>
  <c r="G57" i="13" s="1"/>
  <c r="F139" i="12"/>
  <c r="F57" i="13" s="1"/>
  <c r="A139" i="12"/>
  <c r="I136"/>
  <c r="I146" s="1"/>
  <c r="H136"/>
  <c r="G136"/>
  <c r="G153" s="1"/>
  <c r="F136"/>
  <c r="F146" s="1"/>
  <c r="E136"/>
  <c r="E146" s="1"/>
  <c r="D136"/>
  <c r="C136"/>
  <c r="C153" s="1"/>
  <c r="I129"/>
  <c r="I130" s="1"/>
  <c r="H129"/>
  <c r="H130" s="1"/>
  <c r="G129"/>
  <c r="G130" s="1"/>
  <c r="F129"/>
  <c r="F130" s="1"/>
  <c r="E129"/>
  <c r="E130" s="1"/>
  <c r="D129"/>
  <c r="D130" s="1"/>
  <c r="C129"/>
  <c r="C130" s="1"/>
  <c r="I117"/>
  <c r="I49" i="13" s="1"/>
  <c r="H117" i="12"/>
  <c r="H49" i="13" s="1"/>
  <c r="G117" i="12"/>
  <c r="G49" i="13" s="1"/>
  <c r="F117" i="12"/>
  <c r="F49" i="13" s="1"/>
  <c r="A117" i="12"/>
  <c r="A115"/>
  <c r="B109"/>
  <c r="A109"/>
  <c r="B107"/>
  <c r="B106"/>
  <c r="A105"/>
  <c r="B104"/>
  <c r="A102"/>
  <c r="I99"/>
  <c r="H99"/>
  <c r="G99"/>
  <c r="F99"/>
  <c r="E99"/>
  <c r="D99"/>
  <c r="I79"/>
  <c r="I35"/>
  <c r="H35"/>
  <c r="G35"/>
  <c r="F35"/>
  <c r="E35"/>
  <c r="I6"/>
  <c r="I7" i="13" s="1"/>
  <c r="H6" i="12"/>
  <c r="H7" i="13" s="1"/>
  <c r="G6" i="12"/>
  <c r="G7" i="13" s="1"/>
  <c r="F6" i="12"/>
  <c r="F7" i="13" s="1"/>
  <c r="E6" i="12"/>
  <c r="E7" i="13" s="1"/>
  <c r="D6" i="12"/>
  <c r="D7" i="13" s="1"/>
  <c r="C6" i="12"/>
  <c r="C7" i="13" s="1"/>
  <c r="E4" i="12"/>
  <c r="E120" s="1"/>
  <c r="D4"/>
  <c r="C4"/>
  <c r="C120" s="1"/>
  <c r="B2"/>
  <c r="B3" i="13" s="1"/>
  <c r="B343" i="11"/>
  <c r="D343" s="1"/>
  <c r="B342"/>
  <c r="D342" s="1"/>
  <c r="B338"/>
  <c r="D338" s="1"/>
  <c r="B337"/>
  <c r="D337" s="1"/>
  <c r="B333"/>
  <c r="D333" s="1"/>
  <c r="B332"/>
  <c r="D332" s="1"/>
  <c r="B328"/>
  <c r="D328" s="1"/>
  <c r="B327"/>
  <c r="D327" s="1"/>
  <c r="B323"/>
  <c r="D323" s="1"/>
  <c r="B322"/>
  <c r="D322" s="1"/>
  <c r="B318"/>
  <c r="D318" s="1"/>
  <c r="B317"/>
  <c r="D317" s="1"/>
  <c r="B313"/>
  <c r="D313" s="1"/>
  <c r="B312"/>
  <c r="D312" s="1"/>
  <c r="D297"/>
  <c r="C297"/>
  <c r="B297"/>
  <c r="I186"/>
  <c r="H186"/>
  <c r="G186"/>
  <c r="F186"/>
  <c r="E186"/>
  <c r="D186"/>
  <c r="C186"/>
  <c r="B186"/>
  <c r="I183"/>
  <c r="H183"/>
  <c r="G183"/>
  <c r="F183"/>
  <c r="E183"/>
  <c r="D183"/>
  <c r="C183"/>
  <c r="E148"/>
  <c r="D148"/>
  <c r="C148"/>
  <c r="I142"/>
  <c r="H142"/>
  <c r="G142"/>
  <c r="A131"/>
  <c r="I72"/>
  <c r="H72"/>
  <c r="G72"/>
  <c r="F72"/>
  <c r="E72"/>
  <c r="D72"/>
  <c r="C72"/>
  <c r="A72"/>
  <c r="I70"/>
  <c r="H70"/>
  <c r="G70"/>
  <c r="F70"/>
  <c r="E70"/>
  <c r="D67"/>
  <c r="G62"/>
  <c r="G58"/>
  <c r="D58"/>
  <c r="C58"/>
  <c r="E53"/>
  <c r="D53"/>
  <c r="C53"/>
  <c r="A25"/>
  <c r="I7"/>
  <c r="H7"/>
  <c r="G7"/>
  <c r="F7"/>
  <c r="E7"/>
  <c r="D7"/>
  <c r="C7"/>
  <c r="E6"/>
  <c r="D6"/>
  <c r="C6"/>
  <c r="B3"/>
  <c r="I37" i="10"/>
  <c r="E37"/>
  <c r="D37"/>
  <c r="I36"/>
  <c r="H299" i="11" s="1"/>
  <c r="H36" i="10"/>
  <c r="G36"/>
  <c r="F36"/>
  <c r="F37" s="1"/>
  <c r="E36"/>
  <c r="D299" i="11" s="1"/>
  <c r="D36" i="10"/>
  <c r="C36"/>
  <c r="E34"/>
  <c r="D34"/>
  <c r="C34"/>
  <c r="G24"/>
  <c r="F24"/>
  <c r="C24"/>
  <c r="A24"/>
  <c r="G21"/>
  <c r="F21"/>
  <c r="C21"/>
  <c r="I20"/>
  <c r="H20"/>
  <c r="G20"/>
  <c r="F20"/>
  <c r="E20"/>
  <c r="D20"/>
  <c r="C20"/>
  <c r="I19"/>
  <c r="I21" s="1"/>
  <c r="H19"/>
  <c r="H21" s="1"/>
  <c r="G19"/>
  <c r="F19"/>
  <c r="E19"/>
  <c r="E21" s="1"/>
  <c r="D19"/>
  <c r="D21" s="1"/>
  <c r="C19"/>
  <c r="A19"/>
  <c r="I15"/>
  <c r="H15"/>
  <c r="G15"/>
  <c r="G135" i="18" s="1"/>
  <c r="F15" i="10"/>
  <c r="F135" i="18" s="1"/>
  <c r="E15" i="10"/>
  <c r="D15"/>
  <c r="C15"/>
  <c r="C135" i="18" s="1"/>
  <c r="I6" i="10"/>
  <c r="H6"/>
  <c r="G6"/>
  <c r="F6"/>
  <c r="E6"/>
  <c r="D6"/>
  <c r="C6"/>
  <c r="E5"/>
  <c r="D5"/>
  <c r="C5"/>
  <c r="B3"/>
  <c r="I1"/>
  <c r="I167" i="9"/>
  <c r="H167"/>
  <c r="G167"/>
  <c r="F167"/>
  <c r="E167"/>
  <c r="D167"/>
  <c r="C167"/>
  <c r="I153"/>
  <c r="H153"/>
  <c r="G153"/>
  <c r="F153"/>
  <c r="E153"/>
  <c r="D153"/>
  <c r="C153"/>
  <c r="E126"/>
  <c r="D126"/>
  <c r="C126"/>
  <c r="I120"/>
  <c r="H120"/>
  <c r="G120"/>
  <c r="B67"/>
  <c r="I65"/>
  <c r="H65"/>
  <c r="G65"/>
  <c r="F65"/>
  <c r="E65"/>
  <c r="D65"/>
  <c r="D62"/>
  <c r="C62"/>
  <c r="I57"/>
  <c r="H57"/>
  <c r="G57"/>
  <c r="F57"/>
  <c r="E53"/>
  <c r="D53"/>
  <c r="C53"/>
  <c r="I49"/>
  <c r="H49"/>
  <c r="G49"/>
  <c r="F49"/>
  <c r="A25"/>
  <c r="I7"/>
  <c r="H7"/>
  <c r="G7"/>
  <c r="F7"/>
  <c r="E7"/>
  <c r="D7"/>
  <c r="C7"/>
  <c r="E6"/>
  <c r="D6"/>
  <c r="C6"/>
  <c r="B3"/>
  <c r="I1"/>
  <c r="G56" i="8"/>
  <c r="F56"/>
  <c r="E56"/>
  <c r="D56"/>
  <c r="C56"/>
  <c r="G50"/>
  <c r="AK50" i="4" s="1"/>
  <c r="F50" i="8"/>
  <c r="AJ50" i="4" s="1"/>
  <c r="E50" i="8"/>
  <c r="AI50" i="4" s="1"/>
  <c r="D50" i="8"/>
  <c r="C50"/>
  <c r="AG50" i="4" s="1"/>
  <c r="G49" i="8"/>
  <c r="AK49" i="4" s="1"/>
  <c r="F49" i="8"/>
  <c r="E49"/>
  <c r="D49"/>
  <c r="AH49" i="4" s="1"/>
  <c r="C49" i="8"/>
  <c r="AG49" i="4" s="1"/>
  <c r="E30" i="8"/>
  <c r="AI30" i="4" s="1"/>
  <c r="D30" i="8"/>
  <c r="AH30" i="4" s="1"/>
  <c r="C30" i="8"/>
  <c r="B19"/>
  <c r="G18"/>
  <c r="AK18" i="4" s="1"/>
  <c r="F18" i="8"/>
  <c r="AJ18" i="4" s="1"/>
  <c r="E18" i="8"/>
  <c r="AI18" i="4" s="1"/>
  <c r="D18" i="8"/>
  <c r="AH18" i="4" s="1"/>
  <c r="C18" i="8"/>
  <c r="AG18" i="4" s="1"/>
  <c r="G17" i="8"/>
  <c r="F17"/>
  <c r="E17"/>
  <c r="D17"/>
  <c r="C17"/>
  <c r="B17"/>
  <c r="G16"/>
  <c r="F16"/>
  <c r="E16"/>
  <c r="D16"/>
  <c r="C16"/>
  <c r="G7"/>
  <c r="F7"/>
  <c r="AJ7" i="4" s="1"/>
  <c r="E7" i="8"/>
  <c r="D7"/>
  <c r="C7"/>
  <c r="AG7" i="4" s="1"/>
  <c r="E6" i="8"/>
  <c r="D6"/>
  <c r="C6"/>
  <c r="B4"/>
  <c r="AF4" i="4" s="1"/>
  <c r="B30" i="7"/>
  <c r="H22"/>
  <c r="D22"/>
  <c r="E7"/>
  <c r="D7"/>
  <c r="C7"/>
  <c r="B5"/>
  <c r="F22" s="1"/>
  <c r="B4"/>
  <c r="B3"/>
  <c r="E165" i="6"/>
  <c r="D165"/>
  <c r="C165"/>
  <c r="W3" i="4" s="1"/>
  <c r="I152" i="6"/>
  <c r="H152"/>
  <c r="G152"/>
  <c r="F152"/>
  <c r="E152"/>
  <c r="D152"/>
  <c r="C152"/>
  <c r="E125"/>
  <c r="D125"/>
  <c r="C125"/>
  <c r="I119"/>
  <c r="H119"/>
  <c r="G119"/>
  <c r="I65"/>
  <c r="H65"/>
  <c r="G65"/>
  <c r="F65"/>
  <c r="E65"/>
  <c r="D65"/>
  <c r="D62"/>
  <c r="C62"/>
  <c r="I57"/>
  <c r="H57"/>
  <c r="G57"/>
  <c r="F57"/>
  <c r="E53"/>
  <c r="D53"/>
  <c r="C53"/>
  <c r="I49"/>
  <c r="H49"/>
  <c r="G49"/>
  <c r="F49"/>
  <c r="A25"/>
  <c r="I7"/>
  <c r="H7"/>
  <c r="G7"/>
  <c r="F7"/>
  <c r="E7"/>
  <c r="D7"/>
  <c r="C7"/>
  <c r="E6"/>
  <c r="D6"/>
  <c r="C6"/>
  <c r="B3"/>
  <c r="I1"/>
  <c r="F32" i="5"/>
  <c r="P32" i="4" s="1"/>
  <c r="E32" i="5"/>
  <c r="O32" i="4" s="1"/>
  <c r="D32" i="5"/>
  <c r="N32" i="4" s="1"/>
  <c r="C32" i="5"/>
  <c r="M32" i="4" s="1"/>
  <c r="I26" i="5"/>
  <c r="S26" i="4" s="1"/>
  <c r="H26" i="5"/>
  <c r="R26" i="4" s="1"/>
  <c r="G26" i="5"/>
  <c r="Q26" i="4" s="1"/>
  <c r="F26" i="5"/>
  <c r="E23"/>
  <c r="D23"/>
  <c r="N23" i="4" s="1"/>
  <c r="C23" i="5"/>
  <c r="M23" i="4" s="1"/>
  <c r="I6" i="5"/>
  <c r="S6" i="4" s="1"/>
  <c r="H6" i="5"/>
  <c r="R6" i="4" s="1"/>
  <c r="G6" i="5"/>
  <c r="Q6" i="4" s="1"/>
  <c r="F6" i="5"/>
  <c r="P6" i="4" s="1"/>
  <c r="E6" i="5"/>
  <c r="D6"/>
  <c r="N6" i="4" s="1"/>
  <c r="C6" i="5"/>
  <c r="E5"/>
  <c r="O5" i="4" s="1"/>
  <c r="D5" i="5"/>
  <c r="N5" i="4" s="1"/>
  <c r="C5" i="5"/>
  <c r="M5" i="4" s="1"/>
  <c r="B3" i="5"/>
  <c r="L3" i="4" s="1"/>
  <c r="I1" i="5"/>
  <c r="I167" i="4"/>
  <c r="I4" i="14" s="1"/>
  <c r="H167" i="4"/>
  <c r="H4" i="14" s="1"/>
  <c r="G167" i="4"/>
  <c r="G4" i="14" s="1"/>
  <c r="F167" i="4"/>
  <c r="F4" i="14" s="1"/>
  <c r="E167" i="4"/>
  <c r="E4" i="14" s="1"/>
  <c r="D167" i="4"/>
  <c r="D4" i="14" s="1"/>
  <c r="C167" i="4"/>
  <c r="C4" i="14" s="1"/>
  <c r="I153" i="4"/>
  <c r="H153"/>
  <c r="G153"/>
  <c r="F153"/>
  <c r="E153"/>
  <c r="D153"/>
  <c r="C153"/>
  <c r="I126"/>
  <c r="H126"/>
  <c r="G126"/>
  <c r="F126"/>
  <c r="E126"/>
  <c r="D126"/>
  <c r="C126"/>
  <c r="I120"/>
  <c r="H120"/>
  <c r="G120"/>
  <c r="B67"/>
  <c r="I65"/>
  <c r="H65"/>
  <c r="G65"/>
  <c r="F65"/>
  <c r="E65"/>
  <c r="D65"/>
  <c r="D62"/>
  <c r="C62"/>
  <c r="AF59"/>
  <c r="AE59"/>
  <c r="I57"/>
  <c r="H57"/>
  <c r="G57"/>
  <c r="F57"/>
  <c r="AK56"/>
  <c r="AJ56"/>
  <c r="AI56"/>
  <c r="AH56"/>
  <c r="AG56"/>
  <c r="AE56"/>
  <c r="S56"/>
  <c r="R56"/>
  <c r="Q56"/>
  <c r="P56"/>
  <c r="O56"/>
  <c r="N56"/>
  <c r="M56"/>
  <c r="AK55"/>
  <c r="AJ55"/>
  <c r="AI55"/>
  <c r="AH55"/>
  <c r="AG55"/>
  <c r="AF55"/>
  <c r="AE55"/>
  <c r="S55"/>
  <c r="R55"/>
  <c r="Q55"/>
  <c r="P55"/>
  <c r="O55"/>
  <c r="N55"/>
  <c r="M55"/>
  <c r="L55"/>
  <c r="K55"/>
  <c r="AK54"/>
  <c r="AJ54"/>
  <c r="AI54"/>
  <c r="AH54"/>
  <c r="AG54"/>
  <c r="AF54"/>
  <c r="K54"/>
  <c r="AF53"/>
  <c r="AE53"/>
  <c r="S53"/>
  <c r="R53"/>
  <c r="Q53"/>
  <c r="P53"/>
  <c r="O53"/>
  <c r="N53"/>
  <c r="M53"/>
  <c r="L53"/>
  <c r="K53"/>
  <c r="I53"/>
  <c r="H53"/>
  <c r="G53"/>
  <c r="F53"/>
  <c r="E53"/>
  <c r="D53"/>
  <c r="C53"/>
  <c r="S52"/>
  <c r="R52"/>
  <c r="Q52"/>
  <c r="P52"/>
  <c r="O52"/>
  <c r="N52"/>
  <c r="M52"/>
  <c r="K52"/>
  <c r="S51"/>
  <c r="R51"/>
  <c r="Q51"/>
  <c r="P51"/>
  <c r="O51"/>
  <c r="N51"/>
  <c r="M51"/>
  <c r="K51"/>
  <c r="AH50"/>
  <c r="AE50"/>
  <c r="S50"/>
  <c r="R50"/>
  <c r="Q50"/>
  <c r="P50"/>
  <c r="O50"/>
  <c r="AJ49"/>
  <c r="AI49"/>
  <c r="AE49"/>
  <c r="N49"/>
  <c r="M49"/>
  <c r="I49"/>
  <c r="H49"/>
  <c r="G49"/>
  <c r="F49"/>
  <c r="S48"/>
  <c r="R48"/>
  <c r="Q48"/>
  <c r="P48"/>
  <c r="O48"/>
  <c r="N48"/>
  <c r="AK47"/>
  <c r="AJ47"/>
  <c r="AI47"/>
  <c r="AH47"/>
  <c r="AG47"/>
  <c r="AF47"/>
  <c r="AE47"/>
  <c r="AG46"/>
  <c r="AF46"/>
  <c r="AE46"/>
  <c r="K46"/>
  <c r="AF45"/>
  <c r="AE45"/>
  <c r="L44"/>
  <c r="K44"/>
  <c r="S43"/>
  <c r="R43"/>
  <c r="Q43"/>
  <c r="P43"/>
  <c r="O43"/>
  <c r="AE42"/>
  <c r="AF41"/>
  <c r="AE41"/>
  <c r="AF40"/>
  <c r="AE40"/>
  <c r="S40"/>
  <c r="R40"/>
  <c r="Q40"/>
  <c r="P40"/>
  <c r="O40"/>
  <c r="N40"/>
  <c r="M40"/>
  <c r="L40"/>
  <c r="K40"/>
  <c r="AK39"/>
  <c r="AJ39"/>
  <c r="AI39"/>
  <c r="AH39"/>
  <c r="AG39"/>
  <c r="AF39"/>
  <c r="AE39"/>
  <c r="K39"/>
  <c r="AK38"/>
  <c r="AJ38"/>
  <c r="AI38"/>
  <c r="AH38"/>
  <c r="AG38"/>
  <c r="AF38"/>
  <c r="AE38"/>
  <c r="AF37"/>
  <c r="AE37"/>
  <c r="U37"/>
  <c r="AC36"/>
  <c r="AB36"/>
  <c r="AA36"/>
  <c r="Z36"/>
  <c r="Y36"/>
  <c r="X36"/>
  <c r="W36"/>
  <c r="V36"/>
  <c r="U36"/>
  <c r="AE35"/>
  <c r="AC35"/>
  <c r="AB35"/>
  <c r="AA35"/>
  <c r="Z35"/>
  <c r="Y35"/>
  <c r="X35"/>
  <c r="W35"/>
  <c r="V35"/>
  <c r="U35"/>
  <c r="AF34"/>
  <c r="AE34"/>
  <c r="X34"/>
  <c r="W34"/>
  <c r="V34"/>
  <c r="U34"/>
  <c r="AF33"/>
  <c r="AE33"/>
  <c r="AC33"/>
  <c r="AB33"/>
  <c r="AA33"/>
  <c r="Z33"/>
  <c r="Y33"/>
  <c r="X33"/>
  <c r="W33"/>
  <c r="V33"/>
  <c r="U33"/>
  <c r="AC32"/>
  <c r="AB32"/>
  <c r="AA32"/>
  <c r="Z32"/>
  <c r="Y32"/>
  <c r="X32"/>
  <c r="W32"/>
  <c r="V32"/>
  <c r="U32"/>
  <c r="S32"/>
  <c r="R32"/>
  <c r="Q32"/>
  <c r="AK31"/>
  <c r="AJ31"/>
  <c r="AI31"/>
  <c r="AH31"/>
  <c r="AG31"/>
  <c r="AF31"/>
  <c r="AE31"/>
  <c r="U31"/>
  <c r="S31"/>
  <c r="R31"/>
  <c r="Q31"/>
  <c r="P31"/>
  <c r="O31"/>
  <c r="AK30"/>
  <c r="AJ30"/>
  <c r="AG30"/>
  <c r="AF30"/>
  <c r="AE30"/>
  <c r="AC30"/>
  <c r="AB30"/>
  <c r="AA30"/>
  <c r="Z30"/>
  <c r="Y30"/>
  <c r="X30"/>
  <c r="W30"/>
  <c r="S30"/>
  <c r="R30"/>
  <c r="Q30"/>
  <c r="P30"/>
  <c r="O30"/>
  <c r="L30"/>
  <c r="K30"/>
  <c r="AE29"/>
  <c r="AC29"/>
  <c r="AB29"/>
  <c r="AA29"/>
  <c r="Z29"/>
  <c r="Y29"/>
  <c r="X29"/>
  <c r="W29"/>
  <c r="U29"/>
  <c r="AK28"/>
  <c r="AJ28"/>
  <c r="AI28"/>
  <c r="AH28"/>
  <c r="AG28"/>
  <c r="AF28"/>
  <c r="AE28"/>
  <c r="AC28"/>
  <c r="AB28"/>
  <c r="AA28"/>
  <c r="Z28"/>
  <c r="Y28"/>
  <c r="X28"/>
  <c r="W28"/>
  <c r="U28"/>
  <c r="AE27"/>
  <c r="AC27"/>
  <c r="AB27"/>
  <c r="AA27"/>
  <c r="Z27"/>
  <c r="Y27"/>
  <c r="X27"/>
  <c r="W27"/>
  <c r="U27"/>
  <c r="L27"/>
  <c r="K27"/>
  <c r="AK26"/>
  <c r="AJ26"/>
  <c r="AI26"/>
  <c r="AH26"/>
  <c r="AG26"/>
  <c r="AF26"/>
  <c r="AE26"/>
  <c r="AC26"/>
  <c r="AB26"/>
  <c r="AA26"/>
  <c r="Z26"/>
  <c r="U26"/>
  <c r="P26"/>
  <c r="AK25"/>
  <c r="AJ25"/>
  <c r="AI25"/>
  <c r="AH25"/>
  <c r="AG25"/>
  <c r="AF25"/>
  <c r="AE25"/>
  <c r="AC25"/>
  <c r="AB25"/>
  <c r="AA25"/>
  <c r="Z25"/>
  <c r="Y25"/>
  <c r="X25"/>
  <c r="W25"/>
  <c r="U25"/>
  <c r="A25"/>
  <c r="AK24"/>
  <c r="AJ24"/>
  <c r="AI24"/>
  <c r="AH24"/>
  <c r="AG24"/>
  <c r="AF24"/>
  <c r="AE24"/>
  <c r="AC24"/>
  <c r="AB24"/>
  <c r="AA24"/>
  <c r="Z24"/>
  <c r="Y24"/>
  <c r="X24"/>
  <c r="W24"/>
  <c r="U24"/>
  <c r="AK23"/>
  <c r="AJ23"/>
  <c r="AI23"/>
  <c r="AH23"/>
  <c r="AG23"/>
  <c r="AF23"/>
  <c r="AE23"/>
  <c r="AC23"/>
  <c r="AB23"/>
  <c r="AA23"/>
  <c r="Z23"/>
  <c r="Y23"/>
  <c r="X23"/>
  <c r="W23"/>
  <c r="V23"/>
  <c r="U23"/>
  <c r="S23"/>
  <c r="R23"/>
  <c r="Q23"/>
  <c r="P23"/>
  <c r="O23"/>
  <c r="L23"/>
  <c r="K23"/>
  <c r="AK22"/>
  <c r="AJ22"/>
  <c r="AI22"/>
  <c r="AH22"/>
  <c r="AG22"/>
  <c r="AF22"/>
  <c r="AE22"/>
  <c r="AC22"/>
  <c r="AB22"/>
  <c r="AA22"/>
  <c r="Z22"/>
  <c r="Y22"/>
  <c r="X22"/>
  <c r="W22"/>
  <c r="U22"/>
  <c r="K22"/>
  <c r="AG21"/>
  <c r="AF21"/>
  <c r="AE21"/>
  <c r="AC21"/>
  <c r="AB21"/>
  <c r="AA21"/>
  <c r="Z21"/>
  <c r="Y21"/>
  <c r="X21"/>
  <c r="W21"/>
  <c r="U21"/>
  <c r="S21"/>
  <c r="L21"/>
  <c r="K21"/>
  <c r="AK20"/>
  <c r="AJ20"/>
  <c r="AI20"/>
  <c r="AH20"/>
  <c r="AG20"/>
  <c r="AF20"/>
  <c r="AE20"/>
  <c r="AC20"/>
  <c r="AB20"/>
  <c r="AA20"/>
  <c r="Z20"/>
  <c r="Y20"/>
  <c r="X20"/>
  <c r="W20"/>
  <c r="U20"/>
  <c r="S20"/>
  <c r="R20"/>
  <c r="Q20"/>
  <c r="P20"/>
  <c r="O20"/>
  <c r="N20"/>
  <c r="M20"/>
  <c r="AK19"/>
  <c r="AJ19"/>
  <c r="AI19"/>
  <c r="AH19"/>
  <c r="AG19"/>
  <c r="AF19"/>
  <c r="AE19"/>
  <c r="AC19"/>
  <c r="AB19"/>
  <c r="AA19"/>
  <c r="Z19"/>
  <c r="Y19"/>
  <c r="X19"/>
  <c r="W19"/>
  <c r="V19"/>
  <c r="U19"/>
  <c r="S19"/>
  <c r="R19"/>
  <c r="Q19"/>
  <c r="P19"/>
  <c r="O19"/>
  <c r="N19"/>
  <c r="M19"/>
  <c r="K19"/>
  <c r="AF18"/>
  <c r="AE18"/>
  <c r="AC18"/>
  <c r="AB18"/>
  <c r="AA18"/>
  <c r="Z18"/>
  <c r="Y18"/>
  <c r="X18"/>
  <c r="W18"/>
  <c r="U18"/>
  <c r="S18"/>
  <c r="R18"/>
  <c r="Q18"/>
  <c r="P18"/>
  <c r="O18"/>
  <c r="N18"/>
  <c r="M18"/>
  <c r="AK17"/>
  <c r="AJ17"/>
  <c r="AI17"/>
  <c r="AH17"/>
  <c r="AG17"/>
  <c r="AF17"/>
  <c r="AE17"/>
  <c r="AC17"/>
  <c r="AB17"/>
  <c r="AA17"/>
  <c r="Z17"/>
  <c r="Y17"/>
  <c r="X17"/>
  <c r="U17"/>
  <c r="S17"/>
  <c r="R17"/>
  <c r="Q17"/>
  <c r="P17"/>
  <c r="O17"/>
  <c r="N17"/>
  <c r="M17"/>
  <c r="AK16"/>
  <c r="AJ16"/>
  <c r="AI16"/>
  <c r="AH16"/>
  <c r="AG16"/>
  <c r="AF16"/>
  <c r="AE16"/>
  <c r="AC16"/>
  <c r="AB16"/>
  <c r="AA16"/>
  <c r="Z16"/>
  <c r="Y16"/>
  <c r="U16"/>
  <c r="S16"/>
  <c r="R16"/>
  <c r="Q16"/>
  <c r="P16"/>
  <c r="O16"/>
  <c r="N16"/>
  <c r="M16"/>
  <c r="AK15"/>
  <c r="AJ15"/>
  <c r="AI15"/>
  <c r="AH15"/>
  <c r="AG15"/>
  <c r="AF15"/>
  <c r="AE15"/>
  <c r="AC15"/>
  <c r="AB15"/>
  <c r="AA15"/>
  <c r="Z15"/>
  <c r="Y15"/>
  <c r="U15"/>
  <c r="S15"/>
  <c r="R15"/>
  <c r="Q15"/>
  <c r="P15"/>
  <c r="O15"/>
  <c r="N15"/>
  <c r="M15"/>
  <c r="AK14"/>
  <c r="AJ14"/>
  <c r="AI14"/>
  <c r="AH14"/>
  <c r="AG14"/>
  <c r="AF14"/>
  <c r="AE14"/>
  <c r="AC14"/>
  <c r="AB14"/>
  <c r="AA14"/>
  <c r="Z14"/>
  <c r="Y14"/>
  <c r="X14"/>
  <c r="W14"/>
  <c r="V14"/>
  <c r="U14"/>
  <c r="S14"/>
  <c r="R14"/>
  <c r="Q14"/>
  <c r="P14"/>
  <c r="O14"/>
  <c r="AK13"/>
  <c r="AJ13"/>
  <c r="AI13"/>
  <c r="AH13"/>
  <c r="AG13"/>
  <c r="AF13"/>
  <c r="AE13"/>
  <c r="AC13"/>
  <c r="AB13"/>
  <c r="AA13"/>
  <c r="Z13"/>
  <c r="Y13"/>
  <c r="X13"/>
  <c r="W13"/>
  <c r="U13"/>
  <c r="S13"/>
  <c r="R13"/>
  <c r="Q13"/>
  <c r="P13"/>
  <c r="O13"/>
  <c r="N13"/>
  <c r="M13"/>
  <c r="L13"/>
  <c r="AK12"/>
  <c r="AJ12"/>
  <c r="AI12"/>
  <c r="AH12"/>
  <c r="AG12"/>
  <c r="AF12"/>
  <c r="AE12"/>
  <c r="AC12"/>
  <c r="AB12"/>
  <c r="AA12"/>
  <c r="U12"/>
  <c r="S12"/>
  <c r="R12"/>
  <c r="Q12"/>
  <c r="P12"/>
  <c r="O12"/>
  <c r="N12"/>
  <c r="M12"/>
  <c r="AK11"/>
  <c r="AJ11"/>
  <c r="AI11"/>
  <c r="AH11"/>
  <c r="AG11"/>
  <c r="AF11"/>
  <c r="AE11"/>
  <c r="AC11"/>
  <c r="AB11"/>
  <c r="AA11"/>
  <c r="Z11"/>
  <c r="Y11"/>
  <c r="X11"/>
  <c r="W11"/>
  <c r="U11"/>
  <c r="S11"/>
  <c r="R11"/>
  <c r="Q11"/>
  <c r="P11"/>
  <c r="O11"/>
  <c r="N11"/>
  <c r="M11"/>
  <c r="K11"/>
  <c r="AF10"/>
  <c r="AE10"/>
  <c r="X10"/>
  <c r="W10"/>
  <c r="U10"/>
  <c r="S10"/>
  <c r="R10"/>
  <c r="Q10"/>
  <c r="P10"/>
  <c r="O10"/>
  <c r="N10"/>
  <c r="M10"/>
  <c r="K10"/>
  <c r="AF9"/>
  <c r="AE9"/>
  <c r="X9"/>
  <c r="W9"/>
  <c r="V9"/>
  <c r="U9"/>
  <c r="AF8"/>
  <c r="AE8"/>
  <c r="X8"/>
  <c r="W8"/>
  <c r="V8"/>
  <c r="U8"/>
  <c r="S8"/>
  <c r="R8"/>
  <c r="Q8"/>
  <c r="P8"/>
  <c r="O8"/>
  <c r="N8"/>
  <c r="M8"/>
  <c r="L8"/>
  <c r="K8"/>
  <c r="AK7"/>
  <c r="AI7"/>
  <c r="AH7"/>
  <c r="AF7"/>
  <c r="AE7"/>
  <c r="X7"/>
  <c r="W7"/>
  <c r="V7"/>
  <c r="U7"/>
  <c r="L7"/>
  <c r="K7"/>
  <c r="I7"/>
  <c r="H7"/>
  <c r="G7"/>
  <c r="F7"/>
  <c r="E7"/>
  <c r="D7"/>
  <c r="C7"/>
  <c r="AK6"/>
  <c r="AJ6"/>
  <c r="AI6"/>
  <c r="AH6"/>
  <c r="AG6"/>
  <c r="AF6"/>
  <c r="AE6"/>
  <c r="AC6"/>
  <c r="AB6"/>
  <c r="AA6"/>
  <c r="Z6"/>
  <c r="Y6"/>
  <c r="U6"/>
  <c r="O6"/>
  <c r="M6"/>
  <c r="K6"/>
  <c r="I6"/>
  <c r="H6"/>
  <c r="G6"/>
  <c r="F6"/>
  <c r="E6"/>
  <c r="D6"/>
  <c r="C6"/>
  <c r="AK5"/>
  <c r="AJ5"/>
  <c r="AI5"/>
  <c r="AH5"/>
  <c r="AG5"/>
  <c r="AF5"/>
  <c r="AE5"/>
  <c r="AC5"/>
  <c r="AB5"/>
  <c r="AA5"/>
  <c r="Z5"/>
  <c r="Y5"/>
  <c r="X5"/>
  <c r="W5"/>
  <c r="U5"/>
  <c r="S5"/>
  <c r="R5"/>
  <c r="Q5"/>
  <c r="P5"/>
  <c r="L5"/>
  <c r="K5"/>
  <c r="AJ4"/>
  <c r="AH4"/>
  <c r="AE4"/>
  <c r="X4"/>
  <c r="W4"/>
  <c r="V4"/>
  <c r="U4"/>
  <c r="S4"/>
  <c r="R4"/>
  <c r="Q4"/>
  <c r="P4"/>
  <c r="O4"/>
  <c r="N4"/>
  <c r="M4"/>
  <c r="L4"/>
  <c r="K4"/>
  <c r="AK3"/>
  <c r="AJ3"/>
  <c r="AI3"/>
  <c r="AH3"/>
  <c r="AG3"/>
  <c r="AF3"/>
  <c r="AE3"/>
  <c r="AC3"/>
  <c r="AB3"/>
  <c r="AA3"/>
  <c r="Z3"/>
  <c r="Y3"/>
  <c r="X3"/>
  <c r="V3"/>
  <c r="U3"/>
  <c r="S3"/>
  <c r="R3"/>
  <c r="P3"/>
  <c r="N3"/>
  <c r="K3"/>
  <c r="E3"/>
  <c r="E163" i="6" s="1"/>
  <c r="B3" i="4"/>
  <c r="AE2"/>
  <c r="U2"/>
  <c r="K2"/>
  <c r="I1"/>
  <c r="H299" i="3"/>
  <c r="G299"/>
  <c r="F299"/>
  <c r="D299"/>
  <c r="C299"/>
  <c r="B299"/>
  <c r="J298"/>
  <c r="I298"/>
  <c r="E298"/>
  <c r="J297"/>
  <c r="I297"/>
  <c r="E297"/>
  <c r="K297" s="1"/>
  <c r="J296"/>
  <c r="I296"/>
  <c r="E296"/>
  <c r="J295"/>
  <c r="I295"/>
  <c r="E295"/>
  <c r="J294"/>
  <c r="I294"/>
  <c r="E294"/>
  <c r="J293"/>
  <c r="I293"/>
  <c r="E293"/>
  <c r="K293" s="1"/>
  <c r="J292"/>
  <c r="I292"/>
  <c r="E292"/>
  <c r="J291"/>
  <c r="I291"/>
  <c r="E291"/>
  <c r="J290"/>
  <c r="I290"/>
  <c r="E290"/>
  <c r="J289"/>
  <c r="I289"/>
  <c r="E289"/>
  <c r="J288"/>
  <c r="I288"/>
  <c r="E288"/>
  <c r="J287"/>
  <c r="J299" s="1"/>
  <c r="K301" s="1"/>
  <c r="I287"/>
  <c r="I299" s="1"/>
  <c r="E287"/>
  <c r="E299" s="1"/>
  <c r="I279"/>
  <c r="I47" i="5" s="1"/>
  <c r="S47" i="4" s="1"/>
  <c r="H279" i="3"/>
  <c r="H47" i="5" s="1"/>
  <c r="R47" i="4" s="1"/>
  <c r="G279" i="3"/>
  <c r="G47" i="5" s="1"/>
  <c r="Q47" i="4" s="1"/>
  <c r="F279" i="3"/>
  <c r="F47" i="5" s="1"/>
  <c r="P47" i="4" s="1"/>
  <c r="E279" i="3"/>
  <c r="E47" i="5" s="1"/>
  <c r="O47" i="4" s="1"/>
  <c r="D279" i="3"/>
  <c r="D47" i="5" s="1"/>
  <c r="N47" i="4" s="1"/>
  <c r="C279" i="3"/>
  <c r="C47" i="5" s="1"/>
  <c r="I275" i="3"/>
  <c r="H275"/>
  <c r="G275"/>
  <c r="F275"/>
  <c r="E275"/>
  <c r="D275"/>
  <c r="C275"/>
  <c r="F268"/>
  <c r="E268"/>
  <c r="D268"/>
  <c r="C268"/>
  <c r="D265"/>
  <c r="B257"/>
  <c r="B255"/>
  <c r="B253"/>
  <c r="B11" i="5" s="1"/>
  <c r="B252" i="3"/>
  <c r="B251"/>
  <c r="D251" s="1"/>
  <c r="I250"/>
  <c r="H250"/>
  <c r="G250"/>
  <c r="F250"/>
  <c r="E250"/>
  <c r="D250"/>
  <c r="C250"/>
  <c r="D229"/>
  <c r="D137" i="13" s="1"/>
  <c r="C229" i="3"/>
  <c r="C137" i="13" s="1"/>
  <c r="B228" i="3"/>
  <c r="I224"/>
  <c r="I225" s="1"/>
  <c r="H224"/>
  <c r="H225" s="1"/>
  <c r="G224"/>
  <c r="G225" s="1"/>
  <c r="F224"/>
  <c r="F225" s="1"/>
  <c r="E224"/>
  <c r="D224"/>
  <c r="C224"/>
  <c r="E223"/>
  <c r="E225" s="1"/>
  <c r="D223"/>
  <c r="D225" s="1"/>
  <c r="C223"/>
  <c r="C225" s="1"/>
  <c r="I220"/>
  <c r="H220"/>
  <c r="G220"/>
  <c r="F220"/>
  <c r="E220"/>
  <c r="D220"/>
  <c r="C220"/>
  <c r="D219"/>
  <c r="C219"/>
  <c r="I218"/>
  <c r="H218"/>
  <c r="G218"/>
  <c r="F218"/>
  <c r="E218"/>
  <c r="D218"/>
  <c r="C218"/>
  <c r="F207"/>
  <c r="F212" s="1"/>
  <c r="E207"/>
  <c r="E211" s="1"/>
  <c r="D207"/>
  <c r="D212" s="1"/>
  <c r="C207"/>
  <c r="C212" s="1"/>
  <c r="I205"/>
  <c r="H205"/>
  <c r="G205"/>
  <c r="F205"/>
  <c r="E205"/>
  <c r="D205"/>
  <c r="C205"/>
  <c r="I204"/>
  <c r="H204"/>
  <c r="G204"/>
  <c r="F204"/>
  <c r="E204"/>
  <c r="D204"/>
  <c r="C204"/>
  <c r="I202"/>
  <c r="H202"/>
  <c r="G202"/>
  <c r="F202"/>
  <c r="E202"/>
  <c r="D202"/>
  <c r="C202"/>
  <c r="I199"/>
  <c r="H199"/>
  <c r="G199"/>
  <c r="F199"/>
  <c r="E199"/>
  <c r="D199"/>
  <c r="C199"/>
  <c r="I198"/>
  <c r="H198"/>
  <c r="G198"/>
  <c r="F198"/>
  <c r="E198"/>
  <c r="D198"/>
  <c r="C198"/>
  <c r="A198"/>
  <c r="F267" s="1"/>
  <c r="F36" i="5" s="1"/>
  <c r="P36" i="4" s="1"/>
  <c r="C197" i="3"/>
  <c r="C265" s="1"/>
  <c r="I196"/>
  <c r="H196"/>
  <c r="G196"/>
  <c r="F196"/>
  <c r="E196"/>
  <c r="D196"/>
  <c r="C196"/>
  <c r="I193"/>
  <c r="H193"/>
  <c r="G193"/>
  <c r="F193"/>
  <c r="E193"/>
  <c r="D193"/>
  <c r="D195" s="1"/>
  <c r="C193"/>
  <c r="C195" s="1"/>
  <c r="F183"/>
  <c r="F185" s="1"/>
  <c r="E183"/>
  <c r="E185" s="1"/>
  <c r="D183"/>
  <c r="D185" s="1"/>
  <c r="C183"/>
  <c r="C185" s="1"/>
  <c r="F180"/>
  <c r="E180"/>
  <c r="D180"/>
  <c r="C180"/>
  <c r="I178"/>
  <c r="H178"/>
  <c r="G178"/>
  <c r="F178"/>
  <c r="E178"/>
  <c r="D176"/>
  <c r="C176"/>
  <c r="D175"/>
  <c r="D177" s="1"/>
  <c r="C175"/>
  <c r="C177" s="1"/>
  <c r="D174"/>
  <c r="C174"/>
  <c r="I169"/>
  <c r="H169"/>
  <c r="G169"/>
  <c r="F169"/>
  <c r="E169"/>
  <c r="D169"/>
  <c r="C169"/>
  <c r="D168"/>
  <c r="C168"/>
  <c r="I165"/>
  <c r="I263" s="1"/>
  <c r="I29" i="5" s="1"/>
  <c r="S29" i="4" s="1"/>
  <c r="H165" i="3"/>
  <c r="G165"/>
  <c r="F165"/>
  <c r="F263" s="1"/>
  <c r="F29" i="5" s="1"/>
  <c r="P29" i="4" s="1"/>
  <c r="E165" i="3"/>
  <c r="E263" s="1"/>
  <c r="E29" i="5" s="1"/>
  <c r="O29" i="4" s="1"/>
  <c r="D165" i="3"/>
  <c r="C165"/>
  <c r="I154"/>
  <c r="I155" s="1"/>
  <c r="I156" s="1"/>
  <c r="H154"/>
  <c r="H155" s="1"/>
  <c r="H156" s="1"/>
  <c r="G154"/>
  <c r="G155" s="1"/>
  <c r="G156" s="1"/>
  <c r="F154"/>
  <c r="F155" s="1"/>
  <c r="F156" s="1"/>
  <c r="E154"/>
  <c r="E155" s="1"/>
  <c r="E156" s="1"/>
  <c r="D154"/>
  <c r="D155" s="1"/>
  <c r="D156" s="1"/>
  <c r="C154"/>
  <c r="C155" s="1"/>
  <c r="C156" s="1"/>
  <c r="I147"/>
  <c r="H147"/>
  <c r="G147"/>
  <c r="F147"/>
  <c r="E147"/>
  <c r="D147"/>
  <c r="C147"/>
  <c r="E144"/>
  <c r="D144"/>
  <c r="C144"/>
  <c r="E139"/>
  <c r="D139"/>
  <c r="C139"/>
  <c r="I138"/>
  <c r="I157" s="1"/>
  <c r="H138"/>
  <c r="H157" s="1"/>
  <c r="G138"/>
  <c r="G157" s="1"/>
  <c r="F138"/>
  <c r="F146" s="1"/>
  <c r="E138"/>
  <c r="E157" s="1"/>
  <c r="D138"/>
  <c r="D157" s="1"/>
  <c r="C138"/>
  <c r="C157" s="1"/>
  <c r="I137"/>
  <c r="H137"/>
  <c r="G137"/>
  <c r="F137"/>
  <c r="E137"/>
  <c r="D137"/>
  <c r="C137"/>
  <c r="B136"/>
  <c r="A137" s="1"/>
  <c r="I132"/>
  <c r="H132"/>
  <c r="G132"/>
  <c r="F132"/>
  <c r="E132"/>
  <c r="D132"/>
  <c r="C132"/>
  <c r="I130"/>
  <c r="H130"/>
  <c r="G130"/>
  <c r="F130"/>
  <c r="E130"/>
  <c r="D130"/>
  <c r="C130"/>
  <c r="I128"/>
  <c r="H128"/>
  <c r="G128"/>
  <c r="F128"/>
  <c r="E128"/>
  <c r="D128"/>
  <c r="C128"/>
  <c r="I125"/>
  <c r="H125"/>
  <c r="G125"/>
  <c r="F125"/>
  <c r="E125"/>
  <c r="D125"/>
  <c r="C125"/>
  <c r="I123"/>
  <c r="H123"/>
  <c r="G123"/>
  <c r="G124" s="1"/>
  <c r="F123"/>
  <c r="F124" s="1"/>
  <c r="E123"/>
  <c r="D123"/>
  <c r="C123"/>
  <c r="C124" s="1"/>
  <c r="I122"/>
  <c r="H122"/>
  <c r="G122"/>
  <c r="F122"/>
  <c r="E122"/>
  <c r="D122"/>
  <c r="C122"/>
  <c r="E120"/>
  <c r="D120"/>
  <c r="C120"/>
  <c r="E117"/>
  <c r="D117"/>
  <c r="C117"/>
  <c r="B105"/>
  <c r="A106" s="1"/>
  <c r="A106" i="12" s="1"/>
  <c r="B102" i="3"/>
  <c r="C99"/>
  <c r="B95"/>
  <c r="I98" s="1"/>
  <c r="I94"/>
  <c r="H94"/>
  <c r="G94"/>
  <c r="F94"/>
  <c r="E94"/>
  <c r="D94"/>
  <c r="C94"/>
  <c r="I91"/>
  <c r="H91"/>
  <c r="G91"/>
  <c r="F91"/>
  <c r="E91"/>
  <c r="D91"/>
  <c r="D92" s="1"/>
  <c r="C91"/>
  <c r="I79"/>
  <c r="C46"/>
  <c r="I37"/>
  <c r="H37"/>
  <c r="G37"/>
  <c r="F37"/>
  <c r="E37"/>
  <c r="E38" s="1"/>
  <c r="E39" s="1"/>
  <c r="D37"/>
  <c r="D38" s="1"/>
  <c r="D39" s="1"/>
  <c r="C37"/>
  <c r="D35"/>
  <c r="C35"/>
  <c r="I8"/>
  <c r="I19" s="1"/>
  <c r="H8"/>
  <c r="G8"/>
  <c r="G19" s="1"/>
  <c r="F8"/>
  <c r="F19" s="1"/>
  <c r="E8"/>
  <c r="D8"/>
  <c r="C8"/>
  <c r="D7"/>
  <c r="C7"/>
  <c r="B5"/>
  <c r="F2"/>
  <c r="G2" s="1"/>
  <c r="E2"/>
  <c r="H233" s="1"/>
  <c r="A163" i="2"/>
  <c r="C151"/>
  <c r="A149"/>
  <c r="A148"/>
  <c r="A147"/>
  <c r="J145"/>
  <c r="I145"/>
  <c r="H145"/>
  <c r="G145"/>
  <c r="F145"/>
  <c r="E145"/>
  <c r="D145"/>
  <c r="E130"/>
  <c r="D130"/>
  <c r="J129"/>
  <c r="I129"/>
  <c r="H129"/>
  <c r="G129"/>
  <c r="F129"/>
  <c r="E129"/>
  <c r="D129"/>
  <c r="C129" s="1"/>
  <c r="J128"/>
  <c r="J134" s="1"/>
  <c r="I128"/>
  <c r="H128"/>
  <c r="H131" s="1"/>
  <c r="J127"/>
  <c r="I127"/>
  <c r="H127"/>
  <c r="G127"/>
  <c r="F127"/>
  <c r="E127"/>
  <c r="D127"/>
  <c r="J126"/>
  <c r="I126"/>
  <c r="H126"/>
  <c r="G126"/>
  <c r="F126"/>
  <c r="E126"/>
  <c r="D126"/>
  <c r="C126" s="1"/>
  <c r="J125"/>
  <c r="I125"/>
  <c r="H125"/>
  <c r="G125"/>
  <c r="F125"/>
  <c r="E125"/>
  <c r="D125"/>
  <c r="C125"/>
  <c r="I124"/>
  <c r="G124"/>
  <c r="E124"/>
  <c r="J119"/>
  <c r="I119"/>
  <c r="H119"/>
  <c r="G119"/>
  <c r="F119"/>
  <c r="E119"/>
  <c r="D119"/>
  <c r="C119" s="1"/>
  <c r="J116"/>
  <c r="I116"/>
  <c r="H116"/>
  <c r="H118" s="1"/>
  <c r="H120" s="1"/>
  <c r="G116"/>
  <c r="F116"/>
  <c r="E116"/>
  <c r="D116"/>
  <c r="C116" s="1"/>
  <c r="J115"/>
  <c r="I115"/>
  <c r="H115"/>
  <c r="G115"/>
  <c r="F115"/>
  <c r="E115"/>
  <c r="D115"/>
  <c r="C114"/>
  <c r="C112"/>
  <c r="C111"/>
  <c r="C110"/>
  <c r="C109"/>
  <c r="C108"/>
  <c r="C107"/>
  <c r="C106"/>
  <c r="C105"/>
  <c r="C103"/>
  <c r="C102"/>
  <c r="C99"/>
  <c r="C96"/>
  <c r="C95"/>
  <c r="C94"/>
  <c r="J93"/>
  <c r="I168" i="3" s="1"/>
  <c r="I93" i="2"/>
  <c r="H168" i="3" s="1"/>
  <c r="H93" i="2"/>
  <c r="G93"/>
  <c r="F168" i="3" s="1"/>
  <c r="F93" i="2"/>
  <c r="E93"/>
  <c r="D93"/>
  <c r="A93"/>
  <c r="A91"/>
  <c r="C90"/>
  <c r="A94" s="1"/>
  <c r="C89"/>
  <c r="C87"/>
  <c r="G86"/>
  <c r="F86"/>
  <c r="E86"/>
  <c r="D86"/>
  <c r="C83"/>
  <c r="A84" s="1"/>
  <c r="C82"/>
  <c r="C81"/>
  <c r="C80"/>
  <c r="C79"/>
  <c r="C78"/>
  <c r="C70"/>
  <c r="J66"/>
  <c r="I66"/>
  <c r="H66"/>
  <c r="G66"/>
  <c r="F66"/>
  <c r="E66"/>
  <c r="D66"/>
  <c r="A66"/>
  <c r="C65"/>
  <c r="C64"/>
  <c r="C63"/>
  <c r="C59"/>
  <c r="C148" s="1"/>
  <c r="A57"/>
  <c r="J56"/>
  <c r="I56"/>
  <c r="H56"/>
  <c r="G56"/>
  <c r="F56"/>
  <c r="E56"/>
  <c r="D56"/>
  <c r="A56"/>
  <c r="D55"/>
  <c r="B55"/>
  <c r="A55"/>
  <c r="A50"/>
  <c r="A48"/>
  <c r="C42"/>
  <c r="J34"/>
  <c r="I34"/>
  <c r="H34"/>
  <c r="G34"/>
  <c r="C29"/>
  <c r="J28"/>
  <c r="I28"/>
  <c r="H28"/>
  <c r="G28"/>
  <c r="F28"/>
  <c r="E28"/>
  <c r="D28"/>
  <c r="J27"/>
  <c r="I27"/>
  <c r="H27"/>
  <c r="G27"/>
  <c r="F27"/>
  <c r="E27"/>
  <c r="D27"/>
  <c r="J21"/>
  <c r="I21"/>
  <c r="H21"/>
  <c r="G21"/>
  <c r="F21"/>
  <c r="E21"/>
  <c r="D21"/>
  <c r="H16"/>
  <c r="C34" i="3" l="1"/>
  <c r="D22" i="2" s="1"/>
  <c r="K291" i="3"/>
  <c r="K295"/>
  <c r="K294"/>
  <c r="K298"/>
  <c r="K288"/>
  <c r="K292"/>
  <c r="K296"/>
  <c r="E19"/>
  <c r="E246"/>
  <c r="D246"/>
  <c r="C246"/>
  <c r="D233"/>
  <c r="C233"/>
  <c r="G233"/>
  <c r="A98" i="2"/>
  <c r="F233" i="3"/>
  <c r="F166" i="2"/>
  <c r="E233" i="3"/>
  <c r="I134" i="2"/>
  <c r="K289" i="3"/>
  <c r="B268"/>
  <c r="G268" s="1"/>
  <c r="K290"/>
  <c r="B32" i="5"/>
  <c r="A32" s="1"/>
  <c r="K32" i="4" s="1"/>
  <c r="D329" i="11"/>
  <c r="E301" s="1"/>
  <c r="F38" i="10" s="1"/>
  <c r="F39" s="1"/>
  <c r="D339" i="11"/>
  <c r="G301" s="1"/>
  <c r="H38" i="10" s="1"/>
  <c r="K1" i="3"/>
  <c r="H170"/>
  <c r="H59" i="6" s="1"/>
  <c r="C131" i="3"/>
  <c r="C151" s="1"/>
  <c r="G131"/>
  <c r="D133"/>
  <c r="D55" i="17" s="1"/>
  <c r="H133" i="3"/>
  <c r="H55" i="17" s="1"/>
  <c r="E221" i="12"/>
  <c r="E156" i="13" s="1"/>
  <c r="D219" i="18"/>
  <c r="D221" s="1"/>
  <c r="H78" i="3"/>
  <c r="H19"/>
  <c r="B207"/>
  <c r="C209" s="1"/>
  <c r="C206" i="18" s="1"/>
  <c r="B49" i="8"/>
  <c r="AF49" i="4" s="1"/>
  <c r="B50" i="8"/>
  <c r="AF50" i="4" s="1"/>
  <c r="D344" i="11"/>
  <c r="H301" s="1"/>
  <c r="I38" i="10" s="1"/>
  <c r="F28" i="21"/>
  <c r="I132" i="2"/>
  <c r="J3" i="3"/>
  <c r="K3" s="1"/>
  <c r="E27" i="8"/>
  <c r="AI27" i="4" s="1"/>
  <c r="E220" i="12"/>
  <c r="H131" i="3"/>
  <c r="H145" s="1"/>
  <c r="E133"/>
  <c r="E55" i="9" s="1"/>
  <c r="I133" i="3"/>
  <c r="I55" i="9" s="1"/>
  <c r="F17" i="21"/>
  <c r="I131" i="3"/>
  <c r="I145" s="1"/>
  <c r="D319" i="11"/>
  <c r="C301" s="1"/>
  <c r="D38" i="10" s="1"/>
  <c r="D39" s="1"/>
  <c r="C86" i="2"/>
  <c r="A86" s="1"/>
  <c r="E131" i="3"/>
  <c r="E145" s="1"/>
  <c r="B104" i="2"/>
  <c r="D131" i="3"/>
  <c r="D145" s="1"/>
  <c r="B64" i="2"/>
  <c r="H132"/>
  <c r="B63"/>
  <c r="H133"/>
  <c r="H136" s="1"/>
  <c r="H134"/>
  <c r="D314" i="11"/>
  <c r="B301" s="1"/>
  <c r="C38" i="10" s="1"/>
  <c r="D334" i="11"/>
  <c r="F301" s="1"/>
  <c r="G38" i="10" s="1"/>
  <c r="D324" i="11"/>
  <c r="D301" s="1"/>
  <c r="E38" i="10" s="1"/>
  <c r="C93" i="2"/>
  <c r="F133" i="3"/>
  <c r="F55" i="17" s="1"/>
  <c r="B169" i="3"/>
  <c r="I171"/>
  <c r="E212"/>
  <c r="D219" i="12"/>
  <c r="D221" s="1"/>
  <c r="D156" i="13" s="1"/>
  <c r="A142" i="3"/>
  <c r="A142" i="12" s="1"/>
  <c r="B139" i="3"/>
  <c r="A143" s="1"/>
  <c r="D170"/>
  <c r="D59" i="17" s="1"/>
  <c r="E171" i="3"/>
  <c r="A258"/>
  <c r="I219" i="12"/>
  <c r="F146" i="18"/>
  <c r="H219" i="12"/>
  <c r="C220" i="18"/>
  <c r="C28" i="2"/>
  <c r="C133" i="3"/>
  <c r="C55" i="17" s="1"/>
  <c r="G133" i="3"/>
  <c r="G55" i="9" s="1"/>
  <c r="B256" i="3"/>
  <c r="A16" i="5" s="1"/>
  <c r="K16" i="4" s="1"/>
  <c r="D27" i="8"/>
  <c r="AH27" i="4" s="1"/>
  <c r="F220" i="12"/>
  <c r="F221" s="1"/>
  <c r="F156" i="13" s="1"/>
  <c r="C145" i="2"/>
  <c r="C221" i="12"/>
  <c r="C156" i="13" s="1"/>
  <c r="C221" i="18"/>
  <c r="D40" i="3"/>
  <c r="D41" s="1"/>
  <c r="D42" s="1"/>
  <c r="D43"/>
  <c r="A1040"/>
  <c r="A1038"/>
  <c r="A1036"/>
  <c r="A1034"/>
  <c r="A1032"/>
  <c r="A1030"/>
  <c r="A1028"/>
  <c r="A1026"/>
  <c r="A1024"/>
  <c r="A1022"/>
  <c r="A1020"/>
  <c r="A1018"/>
  <c r="A1016"/>
  <c r="A1014"/>
  <c r="A1012"/>
  <c r="A1010"/>
  <c r="A1008"/>
  <c r="A1006"/>
  <c r="A1004"/>
  <c r="A1002"/>
  <c r="A1000"/>
  <c r="A998"/>
  <c r="A996"/>
  <c r="A994"/>
  <c r="A992"/>
  <c r="A990"/>
  <c r="A988"/>
  <c r="A986"/>
  <c r="A984"/>
  <c r="A982"/>
  <c r="A980"/>
  <c r="A978"/>
  <c r="A976"/>
  <c r="A974"/>
  <c r="A972"/>
  <c r="A970"/>
  <c r="A968"/>
  <c r="A966"/>
  <c r="A964"/>
  <c r="A962"/>
  <c r="A960"/>
  <c r="A958"/>
  <c r="A956"/>
  <c r="A954"/>
  <c r="A952"/>
  <c r="A950"/>
  <c r="A948"/>
  <c r="A946"/>
  <c r="A944"/>
  <c r="A942"/>
  <c r="A940"/>
  <c r="A938"/>
  <c r="A936"/>
  <c r="A934"/>
  <c r="A932"/>
  <c r="A930"/>
  <c r="A928"/>
  <c r="A926"/>
  <c r="A924"/>
  <c r="A922"/>
  <c r="A920"/>
  <c r="A918"/>
  <c r="A916"/>
  <c r="A914"/>
  <c r="A912"/>
  <c r="A910"/>
  <c r="A908"/>
  <c r="A906"/>
  <c r="A904"/>
  <c r="A902"/>
  <c r="A900"/>
  <c r="A898"/>
  <c r="A896"/>
  <c r="A894"/>
  <c r="A892"/>
  <c r="A890"/>
  <c r="A888"/>
  <c r="A886"/>
  <c r="A884"/>
  <c r="A882"/>
  <c r="A880"/>
  <c r="A878"/>
  <c r="A876"/>
  <c r="A874"/>
  <c r="A872"/>
  <c r="A870"/>
  <c r="A868"/>
  <c r="A866"/>
  <c r="A864"/>
  <c r="A862"/>
  <c r="A860"/>
  <c r="A858"/>
  <c r="A856"/>
  <c r="A854"/>
  <c r="A852"/>
  <c r="A850"/>
  <c r="A848"/>
  <c r="A846"/>
  <c r="A844"/>
  <c r="A842"/>
  <c r="A840"/>
  <c r="A838"/>
  <c r="A836"/>
  <c r="A834"/>
  <c r="A832"/>
  <c r="A830"/>
  <c r="A828"/>
  <c r="A826"/>
  <c r="A824"/>
  <c r="A822"/>
  <c r="A820"/>
  <c r="A818"/>
  <c r="A816"/>
  <c r="A814"/>
  <c r="A812"/>
  <c r="A810"/>
  <c r="A808"/>
  <c r="A806"/>
  <c r="A804"/>
  <c r="A802"/>
  <c r="A800"/>
  <c r="A798"/>
  <c r="A796"/>
  <c r="A794"/>
  <c r="A792"/>
  <c r="A790"/>
  <c r="A788"/>
  <c r="A786"/>
  <c r="A784"/>
  <c r="A782"/>
  <c r="A780"/>
  <c r="A778"/>
  <c r="A776"/>
  <c r="A774"/>
  <c r="A772"/>
  <c r="A770"/>
  <c r="A768"/>
  <c r="A766"/>
  <c r="A764"/>
  <c r="A762"/>
  <c r="A760"/>
  <c r="A758"/>
  <c r="A756"/>
  <c r="A754"/>
  <c r="A752"/>
  <c r="A750"/>
  <c r="A748"/>
  <c r="A746"/>
  <c r="A744"/>
  <c r="A742"/>
  <c r="A740"/>
  <c r="A738"/>
  <c r="A736"/>
  <c r="A734"/>
  <c r="A732"/>
  <c r="A730"/>
  <c r="A728"/>
  <c r="A726"/>
  <c r="A724"/>
  <c r="A722"/>
  <c r="A720"/>
  <c r="A718"/>
  <c r="A716"/>
  <c r="A714"/>
  <c r="A712"/>
  <c r="A710"/>
  <c r="A708"/>
  <c r="A706"/>
  <c r="A704"/>
  <c r="A702"/>
  <c r="A700"/>
  <c r="A698"/>
  <c r="A696"/>
  <c r="A694"/>
  <c r="A692"/>
  <c r="A690"/>
  <c r="A688"/>
  <c r="A686"/>
  <c r="A684"/>
  <c r="A1041"/>
  <c r="A1039"/>
  <c r="A1037"/>
  <c r="A1035"/>
  <c r="A1033"/>
  <c r="A1031"/>
  <c r="A1029"/>
  <c r="A1027"/>
  <c r="A1025"/>
  <c r="A1023"/>
  <c r="A1021"/>
  <c r="A1019"/>
  <c r="A1017"/>
  <c r="A1015"/>
  <c r="A1013"/>
  <c r="A1011"/>
  <c r="A1009"/>
  <c r="A1007"/>
  <c r="A1005"/>
  <c r="A1003"/>
  <c r="A1001"/>
  <c r="A999"/>
  <c r="A997"/>
  <c r="A995"/>
  <c r="A993"/>
  <c r="A991"/>
  <c r="A989"/>
  <c r="A987"/>
  <c r="A985"/>
  <c r="A983"/>
  <c r="A981"/>
  <c r="A979"/>
  <c r="A977"/>
  <c r="A975"/>
  <c r="A973"/>
  <c r="A971"/>
  <c r="A969"/>
  <c r="A967"/>
  <c r="A965"/>
  <c r="A963"/>
  <c r="A961"/>
  <c r="A959"/>
  <c r="A957"/>
  <c r="A955"/>
  <c r="A953"/>
  <c r="A951"/>
  <c r="A949"/>
  <c r="A947"/>
  <c r="A945"/>
  <c r="A943"/>
  <c r="A941"/>
  <c r="A939"/>
  <c r="A937"/>
  <c r="A935"/>
  <c r="A933"/>
  <c r="A931"/>
  <c r="A929"/>
  <c r="A927"/>
  <c r="A925"/>
  <c r="A923"/>
  <c r="A921"/>
  <c r="A919"/>
  <c r="A917"/>
  <c r="A915"/>
  <c r="A913"/>
  <c r="A911"/>
  <c r="A909"/>
  <c r="A907"/>
  <c r="A905"/>
  <c r="A903"/>
  <c r="A901"/>
  <c r="A899"/>
  <c r="A897"/>
  <c r="A895"/>
  <c r="A893"/>
  <c r="A891"/>
  <c r="A889"/>
  <c r="A887"/>
  <c r="A885"/>
  <c r="A883"/>
  <c r="A881"/>
  <c r="A879"/>
  <c r="A877"/>
  <c r="A875"/>
  <c r="A873"/>
  <c r="A871"/>
  <c r="A869"/>
  <c r="A867"/>
  <c r="A865"/>
  <c r="A863"/>
  <c r="A861"/>
  <c r="A859"/>
  <c r="A857"/>
  <c r="A855"/>
  <c r="A853"/>
  <c r="A851"/>
  <c r="A849"/>
  <c r="A847"/>
  <c r="A845"/>
  <c r="A843"/>
  <c r="A841"/>
  <c r="A839"/>
  <c r="A837"/>
  <c r="A835"/>
  <c r="A833"/>
  <c r="A831"/>
  <c r="A829"/>
  <c r="A827"/>
  <c r="A825"/>
  <c r="A823"/>
  <c r="A821"/>
  <c r="A819"/>
  <c r="A817"/>
  <c r="A815"/>
  <c r="A813"/>
  <c r="A811"/>
  <c r="A809"/>
  <c r="A807"/>
  <c r="A805"/>
  <c r="A803"/>
  <c r="A801"/>
  <c r="A799"/>
  <c r="A797"/>
  <c r="A795"/>
  <c r="A793"/>
  <c r="A791"/>
  <c r="A789"/>
  <c r="A787"/>
  <c r="A785"/>
  <c r="A783"/>
  <c r="A781"/>
  <c r="A779"/>
  <c r="A777"/>
  <c r="A775"/>
  <c r="A773"/>
  <c r="A771"/>
  <c r="A769"/>
  <c r="A767"/>
  <c r="A765"/>
  <c r="A763"/>
  <c r="A761"/>
  <c r="A759"/>
  <c r="A757"/>
  <c r="A755"/>
  <c r="A753"/>
  <c r="A751"/>
  <c r="A749"/>
  <c r="A747"/>
  <c r="A745"/>
  <c r="A743"/>
  <c r="A741"/>
  <c r="A739"/>
  <c r="A737"/>
  <c r="A735"/>
  <c r="A733"/>
  <c r="A731"/>
  <c r="A729"/>
  <c r="A727"/>
  <c r="A725"/>
  <c r="A723"/>
  <c r="A721"/>
  <c r="A719"/>
  <c r="A717"/>
  <c r="A715"/>
  <c r="A713"/>
  <c r="A711"/>
  <c r="A709"/>
  <c r="A707"/>
  <c r="A705"/>
  <c r="A703"/>
  <c r="A701"/>
  <c r="A699"/>
  <c r="A697"/>
  <c r="A695"/>
  <c r="A693"/>
  <c r="A691"/>
  <c r="A689"/>
  <c r="A687"/>
  <c r="A685"/>
  <c r="A683"/>
  <c r="E40"/>
  <c r="E41" s="1"/>
  <c r="E42" s="1"/>
  <c r="E43"/>
  <c r="D63" i="17"/>
  <c r="D63" i="16"/>
  <c r="D63" i="9"/>
  <c r="D63" i="6"/>
  <c r="D63" i="4"/>
  <c r="D33" i="5"/>
  <c r="N33" i="4" s="1"/>
  <c r="E156" i="17"/>
  <c r="E156" i="16"/>
  <c r="E156" i="9"/>
  <c r="E155" i="6"/>
  <c r="E156" i="4"/>
  <c r="F156" i="16"/>
  <c r="F156" i="17"/>
  <c r="F156" i="9"/>
  <c r="F155" i="6"/>
  <c r="F156" i="4"/>
  <c r="I18" i="17"/>
  <c r="I18" i="16"/>
  <c r="I18" i="9"/>
  <c r="I18" i="4"/>
  <c r="J30" i="2" s="1"/>
  <c r="I18" i="6"/>
  <c r="G145" i="3"/>
  <c r="D55" i="16"/>
  <c r="D156" i="17"/>
  <c r="D156" i="16"/>
  <c r="D156" i="9"/>
  <c r="D155" i="6"/>
  <c r="D156" i="4"/>
  <c r="H2" i="3"/>
  <c r="H156" i="17"/>
  <c r="H156" i="16"/>
  <c r="H156" i="9"/>
  <c r="H155" i="6"/>
  <c r="H156" i="4"/>
  <c r="F8" i="18"/>
  <c r="F8" i="12"/>
  <c r="D37" i="18"/>
  <c r="D37" i="12"/>
  <c r="D91" i="18"/>
  <c r="D92" s="1"/>
  <c r="D91" i="12"/>
  <c r="D92" s="1"/>
  <c r="H91" i="18"/>
  <c r="H91" i="12"/>
  <c r="C94" i="18"/>
  <c r="C94" i="12"/>
  <c r="G94" i="18"/>
  <c r="G17" i="11" s="1"/>
  <c r="G17" i="17"/>
  <c r="G17" i="16"/>
  <c r="G94" i="12"/>
  <c r="G17" i="13" s="1"/>
  <c r="G17" i="9"/>
  <c r="G17" i="6"/>
  <c r="G17" i="4"/>
  <c r="C117" i="18"/>
  <c r="C49" i="11" s="1"/>
  <c r="C49" i="17"/>
  <c r="C49" i="16"/>
  <c r="C117" i="12"/>
  <c r="C49" i="13" s="1"/>
  <c r="C49" i="9"/>
  <c r="C49" i="4"/>
  <c r="C49" i="6"/>
  <c r="E122" i="18"/>
  <c r="E122" i="12"/>
  <c r="I122" i="18"/>
  <c r="I122" i="12"/>
  <c r="F123" i="18"/>
  <c r="F124" s="1"/>
  <c r="F123" i="12"/>
  <c r="F124" s="1"/>
  <c r="D125" i="18"/>
  <c r="D125" i="12"/>
  <c r="H125" i="18"/>
  <c r="H125" i="12"/>
  <c r="F128" i="18"/>
  <c r="F131" s="1"/>
  <c r="F128" i="12"/>
  <c r="F131" s="1"/>
  <c r="E132" i="18"/>
  <c r="E133" s="1"/>
  <c r="E132" i="12"/>
  <c r="E133" s="1"/>
  <c r="I132" i="18"/>
  <c r="I132" i="12"/>
  <c r="I133" s="1"/>
  <c r="E137" i="18"/>
  <c r="E61" i="11" s="1"/>
  <c r="E56" i="17"/>
  <c r="E56" i="16"/>
  <c r="E137" i="12"/>
  <c r="E56" i="13" s="1"/>
  <c r="E56" i="9"/>
  <c r="E56" i="4"/>
  <c r="E56" i="6"/>
  <c r="I137" i="18"/>
  <c r="I61" i="11" s="1"/>
  <c r="I56" i="17"/>
  <c r="I56" i="16"/>
  <c r="I137" i="12"/>
  <c r="I56" i="13" s="1"/>
  <c r="I56" i="9"/>
  <c r="I56" i="4"/>
  <c r="I56" i="6"/>
  <c r="F138" i="18"/>
  <c r="F58" i="17"/>
  <c r="F58" i="16"/>
  <c r="F138" i="12"/>
  <c r="F58" i="9"/>
  <c r="F58" i="4"/>
  <c r="F58" i="6"/>
  <c r="F27" i="5"/>
  <c r="D164" i="18"/>
  <c r="D164" i="12"/>
  <c r="H164" i="18"/>
  <c r="H164" i="12"/>
  <c r="D172" i="18"/>
  <c r="D60" i="17"/>
  <c r="D60" i="16"/>
  <c r="D172" i="12"/>
  <c r="D60" i="9"/>
  <c r="D60" i="6"/>
  <c r="D60" i="4"/>
  <c r="D178" i="18"/>
  <c r="D61" i="17"/>
  <c r="D61" i="16"/>
  <c r="D178" i="12"/>
  <c r="D61" i="9"/>
  <c r="D61" i="6"/>
  <c r="D61" i="4"/>
  <c r="F191" i="18"/>
  <c r="F191" i="12"/>
  <c r="E194" i="18"/>
  <c r="E69" i="11" s="1"/>
  <c r="E64" i="17"/>
  <c r="E64" i="16"/>
  <c r="E194" i="12"/>
  <c r="E64" i="13" s="1"/>
  <c r="E64" i="9"/>
  <c r="E34" i="5"/>
  <c r="O34" i="4" s="1"/>
  <c r="E64" i="6"/>
  <c r="E64" i="4"/>
  <c r="I194" i="18"/>
  <c r="I69" i="11" s="1"/>
  <c r="I64" i="17"/>
  <c r="I64" i="16"/>
  <c r="I194" i="12"/>
  <c r="I64" i="13" s="1"/>
  <c r="I64" i="9"/>
  <c r="I34" i="5"/>
  <c r="S34" i="4" s="1"/>
  <c r="I64" i="6"/>
  <c r="I64" i="4"/>
  <c r="D196" i="18"/>
  <c r="D71" i="11" s="1"/>
  <c r="D66" i="17"/>
  <c r="D66" i="16"/>
  <c r="D196" i="12"/>
  <c r="D66" i="13" s="1"/>
  <c r="D66" i="9"/>
  <c r="D66" i="4"/>
  <c r="D66" i="6"/>
  <c r="H196" i="18"/>
  <c r="H71" i="11" s="1"/>
  <c r="H66" i="17"/>
  <c r="H66" i="16"/>
  <c r="H196" i="12"/>
  <c r="H66" i="13" s="1"/>
  <c r="H66" i="9"/>
  <c r="H66" i="4"/>
  <c r="H66" i="6"/>
  <c r="E197" i="18"/>
  <c r="E75" i="11" s="1"/>
  <c r="E68" i="17"/>
  <c r="E68" i="16"/>
  <c r="E197" i="12"/>
  <c r="E68" i="13" s="1"/>
  <c r="E68" i="9"/>
  <c r="E38" i="5"/>
  <c r="O38" i="4" s="1"/>
  <c r="E67" i="6"/>
  <c r="E68" i="4"/>
  <c r="I197" i="18"/>
  <c r="I75" i="11" s="1"/>
  <c r="I68" i="17"/>
  <c r="I68" i="16"/>
  <c r="I197" i="12"/>
  <c r="I68" i="13" s="1"/>
  <c r="I68" i="9"/>
  <c r="I38" i="5"/>
  <c r="S38" i="4" s="1"/>
  <c r="I67" i="6"/>
  <c r="I68" i="4"/>
  <c r="F202" i="18"/>
  <c r="F202" i="12"/>
  <c r="C203" i="18"/>
  <c r="C203" i="12"/>
  <c r="G203" i="18"/>
  <c r="G203" i="12"/>
  <c r="F215" i="18"/>
  <c r="F126" i="11" s="1"/>
  <c r="F109" i="17"/>
  <c r="F109" i="16"/>
  <c r="F215" i="12"/>
  <c r="F109" i="13" s="1"/>
  <c r="F109" i="9"/>
  <c r="F108" i="6"/>
  <c r="F109" i="4"/>
  <c r="C216" i="18"/>
  <c r="C216" i="12"/>
  <c r="C50" i="5"/>
  <c r="B47"/>
  <c r="M47" i="4"/>
  <c r="B84" i="2"/>
  <c r="J118"/>
  <c r="J120" s="1"/>
  <c r="J133" s="1"/>
  <c r="A92"/>
  <c r="E118"/>
  <c r="E120" s="1"/>
  <c r="I118"/>
  <c r="I120" s="1"/>
  <c r="I133" s="1"/>
  <c r="H124"/>
  <c r="I131"/>
  <c r="B8" i="3"/>
  <c r="K8"/>
  <c r="F9"/>
  <c r="F15"/>
  <c r="F16" s="1"/>
  <c r="C18"/>
  <c r="G18"/>
  <c r="H20"/>
  <c r="H48"/>
  <c r="F49"/>
  <c r="H50"/>
  <c r="F51"/>
  <c r="H52"/>
  <c r="F53"/>
  <c r="H54"/>
  <c r="F55"/>
  <c r="H56"/>
  <c r="F57"/>
  <c r="H58"/>
  <c r="F59"/>
  <c r="H60"/>
  <c r="F61"/>
  <c r="H62"/>
  <c r="F63"/>
  <c r="H64"/>
  <c r="F65"/>
  <c r="H66"/>
  <c r="F67"/>
  <c r="H68"/>
  <c r="F69"/>
  <c r="H70"/>
  <c r="F71"/>
  <c r="H72"/>
  <c r="F73"/>
  <c r="H74"/>
  <c r="F75"/>
  <c r="H76"/>
  <c r="F77"/>
  <c r="E98"/>
  <c r="A104"/>
  <c r="A104" i="12" s="1"/>
  <c r="E126" i="3"/>
  <c r="E127" s="1"/>
  <c r="I126"/>
  <c r="I127" s="1"/>
  <c r="B128"/>
  <c r="C146"/>
  <c r="G146"/>
  <c r="E168"/>
  <c r="I170"/>
  <c r="F171"/>
  <c r="D187"/>
  <c r="F211"/>
  <c r="E245"/>
  <c r="A255"/>
  <c r="F260"/>
  <c r="F24" i="5" s="1"/>
  <c r="F262" i="3"/>
  <c r="F25" i="5" s="1"/>
  <c r="P25" i="4" s="1"/>
  <c r="C264" i="3"/>
  <c r="C266" s="1"/>
  <c r="C35" i="5" s="1"/>
  <c r="G266" i="3"/>
  <c r="G35" i="5" s="1"/>
  <c r="C267" i="3"/>
  <c r="C36" i="5" s="1"/>
  <c r="G267" i="3"/>
  <c r="G36" i="5" s="1"/>
  <c r="Q36" i="4" s="1"/>
  <c r="G4" i="21"/>
  <c r="G3" i="17"/>
  <c r="G3" i="16"/>
  <c r="G3" i="10"/>
  <c r="G3" i="9"/>
  <c r="G4" i="8"/>
  <c r="AK4" i="4" s="1"/>
  <c r="G3" i="6"/>
  <c r="G3" i="5"/>
  <c r="Q3" i="4" s="1"/>
  <c r="G3"/>
  <c r="G163" i="6" s="1"/>
  <c r="E8" i="18"/>
  <c r="E8" i="12"/>
  <c r="I8" i="18"/>
  <c r="I8" i="12"/>
  <c r="C37" i="18"/>
  <c r="C37" i="12"/>
  <c r="C46" i="18"/>
  <c r="C46" i="12"/>
  <c r="B167" i="6"/>
  <c r="V5" i="4" s="1"/>
  <c r="C91" i="18"/>
  <c r="C92" s="1"/>
  <c r="C91" i="12"/>
  <c r="C92" s="1"/>
  <c r="G91" i="18"/>
  <c r="G91" i="12"/>
  <c r="F94" i="18"/>
  <c r="F17" i="11" s="1"/>
  <c r="F17" i="17"/>
  <c r="F17" i="16"/>
  <c r="F94" i="12"/>
  <c r="F17" i="13" s="1"/>
  <c r="F17" i="9"/>
  <c r="F17" i="4"/>
  <c r="F17" i="6"/>
  <c r="B95" i="18"/>
  <c r="B95" i="12"/>
  <c r="D122" i="18"/>
  <c r="D122" i="12"/>
  <c r="D126" s="1"/>
  <c r="D127" s="1"/>
  <c r="H122" i="18"/>
  <c r="H122" i="12"/>
  <c r="E123" i="18"/>
  <c r="E124" s="1"/>
  <c r="E123" i="12"/>
  <c r="E124" s="1"/>
  <c r="I123" i="18"/>
  <c r="I124" s="1"/>
  <c r="I123" i="12"/>
  <c r="I124" s="1"/>
  <c r="C125" i="18"/>
  <c r="C125" i="12"/>
  <c r="G125" i="18"/>
  <c r="G125" i="12"/>
  <c r="E128" i="18"/>
  <c r="E131" s="1"/>
  <c r="E128" i="12"/>
  <c r="E131" s="1"/>
  <c r="I128" i="18"/>
  <c r="I131" s="1"/>
  <c r="I128" i="12"/>
  <c r="I131" s="1"/>
  <c r="D132" i="18"/>
  <c r="D133" s="1"/>
  <c r="D132" i="12"/>
  <c r="D133" s="1"/>
  <c r="H132" i="18"/>
  <c r="H133" s="1"/>
  <c r="H132" i="12"/>
  <c r="H133" s="1"/>
  <c r="D137" i="18"/>
  <c r="D61" i="11" s="1"/>
  <c r="D56" i="17"/>
  <c r="D56" i="16"/>
  <c r="D137" i="12"/>
  <c r="D56" i="13" s="1"/>
  <c r="D56" i="9"/>
  <c r="D56" i="4"/>
  <c r="D56" i="6"/>
  <c r="H137" i="18"/>
  <c r="H61" i="11" s="1"/>
  <c r="H56" i="17"/>
  <c r="H56" i="16"/>
  <c r="H137" i="12"/>
  <c r="H56" i="13" s="1"/>
  <c r="H56" i="9"/>
  <c r="H56" i="4"/>
  <c r="H56" i="6"/>
  <c r="E138" i="18"/>
  <c r="E58" i="17"/>
  <c r="E58" i="16"/>
  <c r="E138" i="12"/>
  <c r="E58" i="9"/>
  <c r="E58" i="6"/>
  <c r="E27" i="5"/>
  <c r="E58" i="4"/>
  <c r="I138" i="18"/>
  <c r="I58" i="17"/>
  <c r="I58" i="16"/>
  <c r="I138" i="12"/>
  <c r="I58" i="9"/>
  <c r="I58" i="6"/>
  <c r="I27" i="5"/>
  <c r="I58" i="4"/>
  <c r="E139" i="18"/>
  <c r="E62" i="11" s="1"/>
  <c r="E57" i="17"/>
  <c r="E57" i="16"/>
  <c r="E139" i="12"/>
  <c r="E57" i="13" s="1"/>
  <c r="E57" i="9"/>
  <c r="E26" i="5"/>
  <c r="O26" i="4" s="1"/>
  <c r="E57"/>
  <c r="E57" i="6"/>
  <c r="C164" i="18"/>
  <c r="C164" i="12"/>
  <c r="G164" i="18"/>
  <c r="G164" i="12"/>
  <c r="C172" i="18"/>
  <c r="C60" i="17"/>
  <c r="C60" i="16"/>
  <c r="C172" i="12"/>
  <c r="C60" i="9"/>
  <c r="C60" i="6"/>
  <c r="C60" i="4"/>
  <c r="D173" i="18"/>
  <c r="D175" s="1"/>
  <c r="D173" i="12"/>
  <c r="D175" s="1"/>
  <c r="C178" i="18"/>
  <c r="C61" i="17"/>
  <c r="C61" i="16"/>
  <c r="C178" i="12"/>
  <c r="C61" i="9"/>
  <c r="C61" i="6"/>
  <c r="C61" i="4"/>
  <c r="E191" i="18"/>
  <c r="E191" i="12"/>
  <c r="I191" i="18"/>
  <c r="I191" i="12"/>
  <c r="C63" i="17"/>
  <c r="C63" i="16"/>
  <c r="C63" i="9"/>
  <c r="C63" i="4"/>
  <c r="C33" i="5"/>
  <c r="C63" i="6"/>
  <c r="D194" i="18"/>
  <c r="D69" i="11" s="1"/>
  <c r="D64" i="17"/>
  <c r="D64" i="16"/>
  <c r="D194" i="12"/>
  <c r="D64" i="13" s="1"/>
  <c r="D64" i="9"/>
  <c r="D64" i="6"/>
  <c r="D64" i="4"/>
  <c r="D34" i="5"/>
  <c r="N34" i="4" s="1"/>
  <c r="H194" i="18"/>
  <c r="H69" i="11" s="1"/>
  <c r="H64" i="17"/>
  <c r="H64" i="16"/>
  <c r="H194" i="12"/>
  <c r="H64" i="13" s="1"/>
  <c r="H64" i="9"/>
  <c r="H64" i="6"/>
  <c r="H64" i="4"/>
  <c r="H34" i="5"/>
  <c r="R34" i="4" s="1"/>
  <c r="C196" i="18"/>
  <c r="C71" i="11" s="1"/>
  <c r="C66" i="17"/>
  <c r="C66" i="16"/>
  <c r="C196" i="12"/>
  <c r="C66" i="13" s="1"/>
  <c r="C66" i="9"/>
  <c r="C66" i="6"/>
  <c r="C66" i="4"/>
  <c r="G196" i="18"/>
  <c r="G71" i="11" s="1"/>
  <c r="G66" i="17"/>
  <c r="G66" i="16"/>
  <c r="G196" i="12"/>
  <c r="G66" i="13" s="1"/>
  <c r="G66" i="9"/>
  <c r="G66" i="6"/>
  <c r="G66" i="4"/>
  <c r="D197" i="18"/>
  <c r="D75" i="11" s="1"/>
  <c r="D68" i="17"/>
  <c r="D68" i="16"/>
  <c r="D197" i="12"/>
  <c r="D68" i="13" s="1"/>
  <c r="D68" i="9"/>
  <c r="D67" i="6"/>
  <c r="D68" i="4"/>
  <c r="D38" i="5"/>
  <c r="N38" i="4" s="1"/>
  <c r="H197" i="18"/>
  <c r="H75" i="11" s="1"/>
  <c r="H68" i="17"/>
  <c r="H68" i="16"/>
  <c r="H197" i="12"/>
  <c r="H68" i="13" s="1"/>
  <c r="H68" i="9"/>
  <c r="H67" i="6"/>
  <c r="H68" i="4"/>
  <c r="H38" i="5"/>
  <c r="R38" i="4" s="1"/>
  <c r="E202" i="18"/>
  <c r="E202" i="12"/>
  <c r="I202" i="18"/>
  <c r="I202" i="12"/>
  <c r="F203" i="18"/>
  <c r="F203" i="12"/>
  <c r="E215" i="18"/>
  <c r="E126" i="11" s="1"/>
  <c r="E109" i="16"/>
  <c r="E109" i="17"/>
  <c r="E215" i="12"/>
  <c r="E109" i="13" s="1"/>
  <c r="E109" i="9"/>
  <c r="E108" i="6"/>
  <c r="E109" i="4"/>
  <c r="I215" i="18"/>
  <c r="I126" i="11" s="1"/>
  <c r="I109" i="16"/>
  <c r="I109" i="17"/>
  <c r="I215" i="12"/>
  <c r="I109" i="13" s="1"/>
  <c r="I109" i="9"/>
  <c r="I108" i="6"/>
  <c r="I109" i="4"/>
  <c r="C156" i="17"/>
  <c r="C156" i="16"/>
  <c r="C156" i="9"/>
  <c r="C155" i="6"/>
  <c r="C156" i="4"/>
  <c r="G156" i="17"/>
  <c r="G156" i="16"/>
  <c r="G156" i="9"/>
  <c r="G155" i="6"/>
  <c r="G156" i="4"/>
  <c r="A137" i="13"/>
  <c r="D118" i="2"/>
  <c r="C127"/>
  <c r="G166"/>
  <c r="E9" i="3"/>
  <c r="I9"/>
  <c r="E15"/>
  <c r="E16" s="1"/>
  <c r="I15"/>
  <c r="F18"/>
  <c r="G20"/>
  <c r="G48"/>
  <c r="E49"/>
  <c r="I49"/>
  <c r="G50"/>
  <c r="E51"/>
  <c r="I51"/>
  <c r="G52"/>
  <c r="E53"/>
  <c r="I53"/>
  <c r="G54"/>
  <c r="E55"/>
  <c r="I55"/>
  <c r="G56"/>
  <c r="E57"/>
  <c r="I57"/>
  <c r="G58"/>
  <c r="E59"/>
  <c r="I59"/>
  <c r="G60"/>
  <c r="E61"/>
  <c r="I61"/>
  <c r="G62"/>
  <c r="E63"/>
  <c r="I63"/>
  <c r="G64"/>
  <c r="E65"/>
  <c r="I65"/>
  <c r="G66"/>
  <c r="E67"/>
  <c r="I67"/>
  <c r="G68"/>
  <c r="E69"/>
  <c r="I69"/>
  <c r="G70"/>
  <c r="E71"/>
  <c r="I71"/>
  <c r="G72"/>
  <c r="E73"/>
  <c r="I73"/>
  <c r="G74"/>
  <c r="E75"/>
  <c r="I75"/>
  <c r="G76"/>
  <c r="E77"/>
  <c r="I77"/>
  <c r="G78"/>
  <c r="D98"/>
  <c r="H98"/>
  <c r="D126"/>
  <c r="D127" s="1"/>
  <c r="H126"/>
  <c r="H127" s="1"/>
  <c r="E158"/>
  <c r="E159" s="1"/>
  <c r="I158"/>
  <c r="I159" s="1"/>
  <c r="C187"/>
  <c r="D245"/>
  <c r="B254"/>
  <c r="B12" i="5" s="1"/>
  <c r="L12" i="4" s="1"/>
  <c r="E260" i="3"/>
  <c r="E24" i="5" s="1"/>
  <c r="I260" i="3"/>
  <c r="I24" i="5" s="1"/>
  <c r="E262" i="3"/>
  <c r="E25" i="5" s="1"/>
  <c r="O25" i="4" s="1"/>
  <c r="I262" i="3"/>
  <c r="I25" i="5" s="1"/>
  <c r="S25" i="4" s="1"/>
  <c r="F266" i="3"/>
  <c r="F35" i="5" s="1"/>
  <c r="A267" i="3"/>
  <c r="E4" i="21"/>
  <c r="E2" i="18"/>
  <c r="E3" i="17"/>
  <c r="E3" i="16"/>
  <c r="G2" i="14"/>
  <c r="E2" i="12"/>
  <c r="E3" i="10"/>
  <c r="E4" i="8"/>
  <c r="AI4" i="4" s="1"/>
  <c r="E3" i="7"/>
  <c r="A38" s="1"/>
  <c r="B9" s="1"/>
  <c r="E3" i="9"/>
  <c r="E3" i="5"/>
  <c r="E3" i="6"/>
  <c r="D7" i="18"/>
  <c r="D7" i="12"/>
  <c r="D8" i="18"/>
  <c r="D8" i="12"/>
  <c r="H8" i="18"/>
  <c r="H8" i="12"/>
  <c r="D10" i="21"/>
  <c r="D34" i="18"/>
  <c r="D19" i="17"/>
  <c r="D15"/>
  <c r="D19" i="16"/>
  <c r="D15"/>
  <c r="D34" i="12"/>
  <c r="D10" i="8"/>
  <c r="AH10" i="4" s="1"/>
  <c r="D19" i="9"/>
  <c r="D15"/>
  <c r="D19" i="6"/>
  <c r="D15"/>
  <c r="D19" i="4"/>
  <c r="E36" i="2" s="1"/>
  <c r="D15" i="4"/>
  <c r="E38" i="2" s="1"/>
  <c r="D35" i="18"/>
  <c r="D35" i="12"/>
  <c r="F91" i="18"/>
  <c r="F91" i="12"/>
  <c r="E94" i="18"/>
  <c r="E17" i="11" s="1"/>
  <c r="E17" i="17"/>
  <c r="E17" i="16"/>
  <c r="E94" i="12"/>
  <c r="E17" i="13" s="1"/>
  <c r="E17" i="9"/>
  <c r="E17" i="4"/>
  <c r="E17" i="6"/>
  <c r="I94" i="18"/>
  <c r="I17" i="11" s="1"/>
  <c r="I17" i="17"/>
  <c r="I17" i="16"/>
  <c r="I94" i="12"/>
  <c r="I17" i="13" s="1"/>
  <c r="I17" i="9"/>
  <c r="I17" i="4"/>
  <c r="I17" i="6"/>
  <c r="B105" i="18"/>
  <c r="B105" i="12"/>
  <c r="E117" i="18"/>
  <c r="E49" i="11" s="1"/>
  <c r="E49" i="17"/>
  <c r="E49" i="16"/>
  <c r="E117" i="12"/>
  <c r="E49" i="13" s="1"/>
  <c r="E49" i="9"/>
  <c r="E49" i="4"/>
  <c r="E49" i="6"/>
  <c r="C122" i="18"/>
  <c r="C122" i="12"/>
  <c r="G122" i="18"/>
  <c r="G122" i="12"/>
  <c r="D123" i="18"/>
  <c r="D124" s="1"/>
  <c r="D123" i="12"/>
  <c r="D124" s="1"/>
  <c r="H123" i="18"/>
  <c r="H124" s="1"/>
  <c r="H123" i="12"/>
  <c r="H124" s="1"/>
  <c r="F125" i="18"/>
  <c r="F125" i="12"/>
  <c r="D128" i="18"/>
  <c r="D131" s="1"/>
  <c r="D128" i="12"/>
  <c r="D131" s="1"/>
  <c r="H128" i="18"/>
  <c r="H131" s="1"/>
  <c r="H128" i="12"/>
  <c r="H131" s="1"/>
  <c r="C132" i="18"/>
  <c r="C133" s="1"/>
  <c r="C132" i="12"/>
  <c r="C133" s="1"/>
  <c r="G132" i="18"/>
  <c r="G133" s="1"/>
  <c r="G132" i="12"/>
  <c r="G133" s="1"/>
  <c r="C137" i="18"/>
  <c r="C61" i="11" s="1"/>
  <c r="C56" i="17"/>
  <c r="C56" i="16"/>
  <c r="C137" i="12"/>
  <c r="C56" i="13" s="1"/>
  <c r="C56" i="9"/>
  <c r="C56" i="6"/>
  <c r="C56" i="4"/>
  <c r="G137" i="18"/>
  <c r="G61" i="11" s="1"/>
  <c r="G56" i="17"/>
  <c r="G56" i="16"/>
  <c r="G137" i="12"/>
  <c r="G56" i="13" s="1"/>
  <c r="G56" i="9"/>
  <c r="G56" i="6"/>
  <c r="G56" i="4"/>
  <c r="D138" i="18"/>
  <c r="D58" i="17"/>
  <c r="D58" i="16"/>
  <c r="D138" i="12"/>
  <c r="D58" i="9"/>
  <c r="D58" i="4"/>
  <c r="D58" i="6"/>
  <c r="D27" i="5"/>
  <c r="H138" i="18"/>
  <c r="H58" i="17"/>
  <c r="H58" i="16"/>
  <c r="H138" i="12"/>
  <c r="H58" i="9"/>
  <c r="H58" i="4"/>
  <c r="H58" i="6"/>
  <c r="H27" i="5"/>
  <c r="D139" i="18"/>
  <c r="D62" i="11" s="1"/>
  <c r="D57" i="17"/>
  <c r="D57" i="16"/>
  <c r="D139" i="12"/>
  <c r="D57" i="13" s="1"/>
  <c r="D57" i="9"/>
  <c r="D26" i="5"/>
  <c r="N26" i="4" s="1"/>
  <c r="D57"/>
  <c r="D57" i="6"/>
  <c r="F164" i="18"/>
  <c r="F164" i="12"/>
  <c r="C173" i="18"/>
  <c r="C175" s="1"/>
  <c r="C173" i="12"/>
  <c r="C175" s="1"/>
  <c r="D174" i="18"/>
  <c r="D174" i="12"/>
  <c r="D30" i="5"/>
  <c r="F178" i="18"/>
  <c r="F61" i="17"/>
  <c r="F61" i="16"/>
  <c r="F178" i="12"/>
  <c r="F61" i="9"/>
  <c r="F61" i="4"/>
  <c r="F61" i="6"/>
  <c r="D191" i="18"/>
  <c r="D193" s="1"/>
  <c r="D68" i="11" s="1"/>
  <c r="D191" i="12"/>
  <c r="D193" s="1"/>
  <c r="D63" i="13" s="1"/>
  <c r="H191" i="18"/>
  <c r="H191" i="12"/>
  <c r="C194" i="18"/>
  <c r="C69" i="11" s="1"/>
  <c r="C64" i="17"/>
  <c r="C64" i="16"/>
  <c r="C194" i="12"/>
  <c r="C64" i="13" s="1"/>
  <c r="C64" i="9"/>
  <c r="C64" i="6"/>
  <c r="C64" i="4"/>
  <c r="C34" i="5"/>
  <c r="G194" i="18"/>
  <c r="G69" i="11" s="1"/>
  <c r="G64" i="17"/>
  <c r="G64" i="16"/>
  <c r="G194" i="12"/>
  <c r="G64" i="13" s="1"/>
  <c r="G64" i="9"/>
  <c r="G64" i="6"/>
  <c r="G64" i="4"/>
  <c r="G34" i="5"/>
  <c r="Q34" i="4" s="1"/>
  <c r="A196" i="12"/>
  <c r="F37" i="5"/>
  <c r="P37" i="4" s="1"/>
  <c r="G37" i="5"/>
  <c r="Q37" i="4" s="1"/>
  <c r="C37" i="5"/>
  <c r="H37"/>
  <c r="R37" i="4" s="1"/>
  <c r="D37" i="5"/>
  <c r="N37" i="4" s="1"/>
  <c r="I37" i="5"/>
  <c r="S37" i="4" s="1"/>
  <c r="E37" i="5"/>
  <c r="O37" i="4" s="1"/>
  <c r="F196" i="18"/>
  <c r="F71" i="11" s="1"/>
  <c r="F66" i="17"/>
  <c r="F66" i="16"/>
  <c r="F196" i="12"/>
  <c r="F66" i="13" s="1"/>
  <c r="F66" i="9"/>
  <c r="F66" i="6"/>
  <c r="F66" i="4"/>
  <c r="C197" i="18"/>
  <c r="C75" i="11" s="1"/>
  <c r="C68" i="17"/>
  <c r="C68" i="16"/>
  <c r="C197" i="12"/>
  <c r="C68" i="13" s="1"/>
  <c r="C68" i="9"/>
  <c r="C68" i="4"/>
  <c r="C38" i="5"/>
  <c r="C67" i="6"/>
  <c r="G197" i="18"/>
  <c r="G75" i="11" s="1"/>
  <c r="G68" i="17"/>
  <c r="G68" i="16"/>
  <c r="G197" i="12"/>
  <c r="G68" i="13" s="1"/>
  <c r="G68" i="9"/>
  <c r="G68" i="4"/>
  <c r="G38" i="5"/>
  <c r="Q38" i="4" s="1"/>
  <c r="G67" i="6"/>
  <c r="D202" i="18"/>
  <c r="D202" i="12"/>
  <c r="H202" i="18"/>
  <c r="H202" i="12"/>
  <c r="E203" i="18"/>
  <c r="E203" i="12"/>
  <c r="I203" i="18"/>
  <c r="I203" i="12"/>
  <c r="D215" i="18"/>
  <c r="D126" i="11" s="1"/>
  <c r="D109" i="17"/>
  <c r="D109" i="16"/>
  <c r="D215" i="12"/>
  <c r="D109" i="13" s="1"/>
  <c r="D109" i="9"/>
  <c r="D108" i="6"/>
  <c r="D109" i="4"/>
  <c r="H215" i="18"/>
  <c r="H126" i="11" s="1"/>
  <c r="H109" i="17"/>
  <c r="H109" i="16"/>
  <c r="H215" i="12"/>
  <c r="H109" i="13" s="1"/>
  <c r="H108" i="6"/>
  <c r="H109" i="9"/>
  <c r="H109" i="4"/>
  <c r="C115" i="2"/>
  <c r="G118"/>
  <c r="G120" s="1"/>
  <c r="F124"/>
  <c r="J124"/>
  <c r="I2" i="3"/>
  <c r="D9"/>
  <c r="H9"/>
  <c r="D15"/>
  <c r="D17" s="1"/>
  <c r="D20" s="1"/>
  <c r="H15"/>
  <c r="E18"/>
  <c r="I18"/>
  <c r="F20"/>
  <c r="C38"/>
  <c r="C39" s="1"/>
  <c r="F48"/>
  <c r="H49"/>
  <c r="F50"/>
  <c r="H51"/>
  <c r="F52"/>
  <c r="H53"/>
  <c r="F54"/>
  <c r="H55"/>
  <c r="F56"/>
  <c r="H57"/>
  <c r="F58"/>
  <c r="H59"/>
  <c r="F60"/>
  <c r="H61"/>
  <c r="F62"/>
  <c r="H63"/>
  <c r="F64"/>
  <c r="H65"/>
  <c r="F66"/>
  <c r="H67"/>
  <c r="F68"/>
  <c r="H69"/>
  <c r="F70"/>
  <c r="H71"/>
  <c r="F72"/>
  <c r="H73"/>
  <c r="F74"/>
  <c r="H75"/>
  <c r="F76"/>
  <c r="H77"/>
  <c r="F78"/>
  <c r="C92"/>
  <c r="C15" i="16" s="1"/>
  <c r="C98" i="3"/>
  <c r="G98"/>
  <c r="A107"/>
  <c r="A107" i="12" s="1"/>
  <c r="B115" i="3"/>
  <c r="E124"/>
  <c r="I124"/>
  <c r="C126"/>
  <c r="C127" s="1"/>
  <c r="G126"/>
  <c r="G127" s="1"/>
  <c r="B130"/>
  <c r="A130" s="1"/>
  <c r="E146"/>
  <c r="I146"/>
  <c r="D158"/>
  <c r="D159" s="1"/>
  <c r="H158"/>
  <c r="H159" s="1"/>
  <c r="B165"/>
  <c r="G168"/>
  <c r="G170" s="1"/>
  <c r="C170"/>
  <c r="D171"/>
  <c r="H171"/>
  <c r="B174"/>
  <c r="D178"/>
  <c r="D179" s="1"/>
  <c r="B180"/>
  <c r="F187"/>
  <c r="D200"/>
  <c r="D211"/>
  <c r="C245"/>
  <c r="G245"/>
  <c r="A254"/>
  <c r="A12" i="5" s="1"/>
  <c r="K12" i="4" s="1"/>
  <c r="A256" i="3"/>
  <c r="D260"/>
  <c r="D24" i="5" s="1"/>
  <c r="H260" i="3"/>
  <c r="H24" i="5" s="1"/>
  <c r="D262" i="3"/>
  <c r="D25" i="5" s="1"/>
  <c r="N25" i="4" s="1"/>
  <c r="H262" i="3"/>
  <c r="H25" i="5" s="1"/>
  <c r="R25" i="4" s="1"/>
  <c r="D263" i="3"/>
  <c r="D29" i="5" s="1"/>
  <c r="N29" i="4" s="1"/>
  <c r="H263" i="3"/>
  <c r="H29" i="5" s="1"/>
  <c r="R29" i="4" s="1"/>
  <c r="E266" i="3"/>
  <c r="E35" i="5" s="1"/>
  <c r="I266" i="3"/>
  <c r="I35" i="5" s="1"/>
  <c r="E267" i="3"/>
  <c r="E36" i="5" s="1"/>
  <c r="O36" i="4" s="1"/>
  <c r="I267" i="3"/>
  <c r="I36" i="5" s="1"/>
  <c r="S36" i="4" s="1"/>
  <c r="A287" i="3"/>
  <c r="A288" s="1"/>
  <c r="A289" s="1"/>
  <c r="A290" s="1"/>
  <c r="A291" s="1"/>
  <c r="A292" s="1"/>
  <c r="A293" s="1"/>
  <c r="A294" s="1"/>
  <c r="A295" s="1"/>
  <c r="A296" s="1"/>
  <c r="A297" s="1"/>
  <c r="A298" s="1"/>
  <c r="K287"/>
  <c r="K299" s="1"/>
  <c r="K302" s="1"/>
  <c r="B5" i="18"/>
  <c r="B5" i="12"/>
  <c r="C7" i="18"/>
  <c r="C7" i="12"/>
  <c r="C8" i="18"/>
  <c r="C8" i="12"/>
  <c r="G8" i="18"/>
  <c r="G8" i="12"/>
  <c r="C10" i="21"/>
  <c r="C34" i="18"/>
  <c r="C34" i="12"/>
  <c r="C10" i="8"/>
  <c r="AG10" i="4" s="1"/>
  <c r="C35" i="18"/>
  <c r="C10" i="11" s="1"/>
  <c r="C10" i="17"/>
  <c r="C10" i="16"/>
  <c r="C35" i="12"/>
  <c r="C10" i="13" s="1"/>
  <c r="C10" i="9"/>
  <c r="C9" i="10"/>
  <c r="C10" i="6"/>
  <c r="C10" i="4"/>
  <c r="E37" i="18"/>
  <c r="E13" i="17"/>
  <c r="E13" i="16"/>
  <c r="E37" i="12"/>
  <c r="E13" i="9"/>
  <c r="E13" i="6"/>
  <c r="E13" i="4"/>
  <c r="F34" i="2" s="1"/>
  <c r="E91" i="18"/>
  <c r="E91" i="12"/>
  <c r="I91" i="18"/>
  <c r="I91" i="12"/>
  <c r="D94" i="18"/>
  <c r="D94" i="12"/>
  <c r="H94" i="18"/>
  <c r="H17" i="11" s="1"/>
  <c r="H17" i="17"/>
  <c r="H17" i="16"/>
  <c r="H94" i="12"/>
  <c r="H17" i="13" s="1"/>
  <c r="H17" i="9"/>
  <c r="H17" i="6"/>
  <c r="H17" i="4"/>
  <c r="C99" i="18"/>
  <c r="C99" i="12"/>
  <c r="B102" i="18"/>
  <c r="B102" i="12"/>
  <c r="D117" i="18"/>
  <c r="D49" i="11" s="1"/>
  <c r="D49" i="17"/>
  <c r="D49" i="16"/>
  <c r="D117" i="12"/>
  <c r="D49" i="13" s="1"/>
  <c r="D49" i="9"/>
  <c r="D49" i="4"/>
  <c r="D49" i="6"/>
  <c r="F122" i="18"/>
  <c r="F122" i="12"/>
  <c r="C123" i="18"/>
  <c r="C124" s="1"/>
  <c r="C123" i="12"/>
  <c r="C124" s="1"/>
  <c r="G123" i="18"/>
  <c r="G124" s="1"/>
  <c r="G123" i="12"/>
  <c r="G124" s="1"/>
  <c r="E125" i="18"/>
  <c r="E125" i="12"/>
  <c r="I125" i="18"/>
  <c r="I125" i="12"/>
  <c r="C128" i="18"/>
  <c r="C131" s="1"/>
  <c r="C128" i="12"/>
  <c r="C131" s="1"/>
  <c r="G128" i="18"/>
  <c r="G131" s="1"/>
  <c r="G128" i="12"/>
  <c r="G131" s="1"/>
  <c r="F132" i="18"/>
  <c r="F133" s="1"/>
  <c r="F132" i="12"/>
  <c r="F133" s="1"/>
  <c r="F137" i="18"/>
  <c r="F61" i="11" s="1"/>
  <c r="F56" i="17"/>
  <c r="F56" i="16"/>
  <c r="F137" i="12"/>
  <c r="F56" i="13" s="1"/>
  <c r="F56" i="9"/>
  <c r="F56" i="4"/>
  <c r="F56" i="6"/>
  <c r="C138" i="18"/>
  <c r="C58" i="17"/>
  <c r="C58" i="16"/>
  <c r="C138" i="12"/>
  <c r="C58" i="9"/>
  <c r="C58" i="4"/>
  <c r="C58" i="6"/>
  <c r="C27" i="5"/>
  <c r="G138" i="18"/>
  <c r="G58" i="17"/>
  <c r="G58" i="16"/>
  <c r="G138" i="12"/>
  <c r="G58" i="9"/>
  <c r="G58" i="4"/>
  <c r="G58" i="6"/>
  <c r="G27" i="5"/>
  <c r="C139" i="18"/>
  <c r="C62" i="11" s="1"/>
  <c r="C57" i="17"/>
  <c r="C57" i="16"/>
  <c r="C139" i="12"/>
  <c r="C57" i="13" s="1"/>
  <c r="C57" i="9"/>
  <c r="C57" i="4"/>
  <c r="C57" i="6"/>
  <c r="C26" i="5"/>
  <c r="E164" i="18"/>
  <c r="E164" i="12"/>
  <c r="I164" i="18"/>
  <c r="I164" i="12"/>
  <c r="C174" i="18"/>
  <c r="C174" i="12"/>
  <c r="C30" i="5"/>
  <c r="E178" i="18"/>
  <c r="E61" i="17"/>
  <c r="E61" i="16"/>
  <c r="E178" i="12"/>
  <c r="E61" i="9"/>
  <c r="E61" i="6"/>
  <c r="E61" i="4"/>
  <c r="C191" i="18"/>
  <c r="C193" s="1"/>
  <c r="C68" i="11" s="1"/>
  <c r="C191" i="12"/>
  <c r="C193" s="1"/>
  <c r="C63" i="13" s="1"/>
  <c r="G191" i="18"/>
  <c r="G191" i="12"/>
  <c r="F194" i="18"/>
  <c r="F69" i="11" s="1"/>
  <c r="F64" i="17"/>
  <c r="F64" i="16"/>
  <c r="F194" i="12"/>
  <c r="F64" i="13" s="1"/>
  <c r="F64" i="9"/>
  <c r="F64" i="4"/>
  <c r="F34" i="5"/>
  <c r="P34" i="4" s="1"/>
  <c r="F64" i="6"/>
  <c r="C195" i="18"/>
  <c r="C65" i="17"/>
  <c r="B65" s="1"/>
  <c r="A65" s="1"/>
  <c r="C65" i="16"/>
  <c r="B65" s="1"/>
  <c r="A65" s="1"/>
  <c r="C195" i="12"/>
  <c r="C65" i="9"/>
  <c r="B65" s="1"/>
  <c r="A65" s="1"/>
  <c r="C65" i="6"/>
  <c r="B65" s="1"/>
  <c r="A65" s="1"/>
  <c r="C65" i="4"/>
  <c r="B65" s="1"/>
  <c r="A65" s="1"/>
  <c r="E196" i="18"/>
  <c r="E71" i="11" s="1"/>
  <c r="E66" i="17"/>
  <c r="E66" i="16"/>
  <c r="E196" i="12"/>
  <c r="E66" i="13" s="1"/>
  <c r="E66" i="9"/>
  <c r="E66" i="6"/>
  <c r="E66" i="4"/>
  <c r="I196" i="18"/>
  <c r="I71" i="11" s="1"/>
  <c r="I66" i="17"/>
  <c r="I66" i="16"/>
  <c r="I196" i="12"/>
  <c r="I66" i="13" s="1"/>
  <c r="I66" i="9"/>
  <c r="I66" i="6"/>
  <c r="I66" i="4"/>
  <c r="F197" i="18"/>
  <c r="F75" i="11" s="1"/>
  <c r="F68" i="17"/>
  <c r="F68" i="16"/>
  <c r="F197" i="12"/>
  <c r="F68" i="13" s="1"/>
  <c r="F68" i="9"/>
  <c r="F68" i="4"/>
  <c r="F38" i="5"/>
  <c r="P38" i="4" s="1"/>
  <c r="F67" i="6"/>
  <c r="C202" i="18"/>
  <c r="C202" i="12"/>
  <c r="G202" i="18"/>
  <c r="G202" i="12"/>
  <c r="D203" i="18"/>
  <c r="D203" i="12"/>
  <c r="H203" i="18"/>
  <c r="H203" i="12"/>
  <c r="C215" i="18"/>
  <c r="C126" i="11" s="1"/>
  <c r="C109" i="17"/>
  <c r="C109" i="16"/>
  <c r="C215" i="12"/>
  <c r="C109" i="13" s="1"/>
  <c r="C109" i="9"/>
  <c r="C108" i="6"/>
  <c r="C109" i="4"/>
  <c r="G215" i="18"/>
  <c r="G126" i="11" s="1"/>
  <c r="G109" i="17"/>
  <c r="G109" i="16"/>
  <c r="G215" i="12"/>
  <c r="G109" i="13" s="1"/>
  <c r="G109" i="9"/>
  <c r="G108" i="6"/>
  <c r="G109" i="4"/>
  <c r="D216" i="18"/>
  <c r="D216" i="12"/>
  <c r="D50" i="5"/>
  <c r="N50" i="4" s="1"/>
  <c r="I156" i="17"/>
  <c r="I156" i="16"/>
  <c r="I156" i="9"/>
  <c r="I155" i="6"/>
  <c r="I156" i="4"/>
  <c r="A20" i="5"/>
  <c r="K20" i="4" s="1"/>
  <c r="B17" i="5"/>
  <c r="L17" i="4" s="1"/>
  <c r="B15" i="5"/>
  <c r="L15" i="4" s="1"/>
  <c r="A14" i="5"/>
  <c r="K14" i="4" s="1"/>
  <c r="A18" i="5"/>
  <c r="K18" i="4" s="1"/>
  <c r="B14" i="5"/>
  <c r="L14" i="4" s="1"/>
  <c r="B18" i="5"/>
  <c r="L18" i="4" s="1"/>
  <c r="B16" i="5"/>
  <c r="L16" i="4" s="1"/>
  <c r="C14" i="5"/>
  <c r="M14" i="4" s="1"/>
  <c r="A9" i="5"/>
  <c r="K9" i="4" s="1"/>
  <c r="L11"/>
  <c r="A17" i="5"/>
  <c r="K17" i="4" s="1"/>
  <c r="A15" i="5"/>
  <c r="K15" i="4" s="1"/>
  <c r="A13" i="5"/>
  <c r="K13" i="4" s="1"/>
  <c r="F118" i="2"/>
  <c r="F120" s="1"/>
  <c r="J131"/>
  <c r="J132"/>
  <c r="C9" i="3"/>
  <c r="G9"/>
  <c r="C15"/>
  <c r="G15"/>
  <c r="D18"/>
  <c r="H18"/>
  <c r="I20"/>
  <c r="E48"/>
  <c r="I48"/>
  <c r="G49"/>
  <c r="E50"/>
  <c r="I50"/>
  <c r="G51"/>
  <c r="E52"/>
  <c r="I52"/>
  <c r="G53"/>
  <c r="E54"/>
  <c r="I54"/>
  <c r="G55"/>
  <c r="E56"/>
  <c r="I56"/>
  <c r="G57"/>
  <c r="E58"/>
  <c r="I58"/>
  <c r="G59"/>
  <c r="E60"/>
  <c r="I60"/>
  <c r="G61"/>
  <c r="E62"/>
  <c r="I62"/>
  <c r="G63"/>
  <c r="E64"/>
  <c r="I64"/>
  <c r="G65"/>
  <c r="E66"/>
  <c r="I66"/>
  <c r="G67"/>
  <c r="E68"/>
  <c r="I68"/>
  <c r="G69"/>
  <c r="E70"/>
  <c r="I70"/>
  <c r="G71"/>
  <c r="E72"/>
  <c r="I72"/>
  <c r="G73"/>
  <c r="E74"/>
  <c r="I74"/>
  <c r="G75"/>
  <c r="E76"/>
  <c r="I76"/>
  <c r="G77"/>
  <c r="E78"/>
  <c r="I78"/>
  <c r="F98"/>
  <c r="D124"/>
  <c r="H124"/>
  <c r="F126"/>
  <c r="F127" s="1"/>
  <c r="F131"/>
  <c r="D146"/>
  <c r="H146"/>
  <c r="F157"/>
  <c r="F158" s="1"/>
  <c r="F159" s="1"/>
  <c r="C158"/>
  <c r="C159" s="1"/>
  <c r="G158"/>
  <c r="G159" s="1"/>
  <c r="F170"/>
  <c r="C171"/>
  <c r="G171"/>
  <c r="C178"/>
  <c r="C179" s="1"/>
  <c r="E187"/>
  <c r="C200"/>
  <c r="C211"/>
  <c r="E231"/>
  <c r="F231" s="1"/>
  <c r="G231" s="1"/>
  <c r="F245"/>
  <c r="A257"/>
  <c r="C260"/>
  <c r="G260"/>
  <c r="G24" i="5" s="1"/>
  <c r="C262" i="3"/>
  <c r="C25" i="5" s="1"/>
  <c r="G262" i="3"/>
  <c r="G25" i="5" s="1"/>
  <c r="Q25" i="4" s="1"/>
  <c r="C263" i="3"/>
  <c r="C29" i="5" s="1"/>
  <c r="G263" i="3"/>
  <c r="G29" i="5" s="1"/>
  <c r="Q29" i="4" s="1"/>
  <c r="D264" i="3"/>
  <c r="D266" s="1"/>
  <c r="D35" i="5" s="1"/>
  <c r="H266" i="3"/>
  <c r="H35" i="5" s="1"/>
  <c r="D267" i="3"/>
  <c r="D36" i="5" s="1"/>
  <c r="N36" i="4" s="1"/>
  <c r="H267" i="3"/>
  <c r="H36" i="5" s="1"/>
  <c r="R36" i="4" s="1"/>
  <c r="C51"/>
  <c r="G51"/>
  <c r="F51"/>
  <c r="E51"/>
  <c r="D51"/>
  <c r="H51"/>
  <c r="D135" i="18"/>
  <c r="D24" i="10"/>
  <c r="H135" i="18"/>
  <c r="H24" i="10"/>
  <c r="C37"/>
  <c r="B299" i="11"/>
  <c r="G37" i="10"/>
  <c r="F299" i="11"/>
  <c r="G3" i="7"/>
  <c r="G5" s="1"/>
  <c r="A22"/>
  <c r="E22"/>
  <c r="I22"/>
  <c r="C27" i="8"/>
  <c r="G27"/>
  <c r="G39" i="10"/>
  <c r="F27" i="8"/>
  <c r="D300" i="11"/>
  <c r="D303" s="1"/>
  <c r="E56" s="1"/>
  <c r="C22" i="7"/>
  <c r="G22"/>
  <c r="E135" i="18"/>
  <c r="E58" i="11"/>
  <c r="E24" i="10"/>
  <c r="I135" i="18"/>
  <c r="I58" i="11"/>
  <c r="I24" i="10"/>
  <c r="C299" i="11"/>
  <c r="G299"/>
  <c r="B56" i="8"/>
  <c r="AF56" i="4" s="1"/>
  <c r="H37" i="10"/>
  <c r="H39" s="1"/>
  <c r="H58" i="11"/>
  <c r="E39" i="10"/>
  <c r="I39"/>
  <c r="F58" i="11"/>
  <c r="E299"/>
  <c r="H300"/>
  <c r="H303" s="1"/>
  <c r="I56" s="1"/>
  <c r="D126" i="13"/>
  <c r="D53"/>
  <c r="D65"/>
  <c r="D146" i="12"/>
  <c r="H146"/>
  <c r="F153"/>
  <c r="C154"/>
  <c r="C155" s="1"/>
  <c r="G154"/>
  <c r="G155" s="1"/>
  <c r="D200"/>
  <c r="C220"/>
  <c r="G220"/>
  <c r="G221" s="1"/>
  <c r="G156" i="13" s="1"/>
  <c r="C53"/>
  <c r="C126"/>
  <c r="C146" i="12"/>
  <c r="G146"/>
  <c r="E153"/>
  <c r="E154" s="1"/>
  <c r="E155" s="1"/>
  <c r="I153"/>
  <c r="I154" s="1"/>
  <c r="I155" s="1"/>
  <c r="F154"/>
  <c r="F155" s="1"/>
  <c r="C200"/>
  <c r="E6" i="13"/>
  <c r="D153" i="12"/>
  <c r="D154" s="1"/>
  <c r="D155" s="1"/>
  <c r="H153"/>
  <c r="H154" s="1"/>
  <c r="H155" s="1"/>
  <c r="D6" i="13"/>
  <c r="E53"/>
  <c r="E126"/>
  <c r="D120" i="12"/>
  <c r="E200"/>
  <c r="C6" i="13"/>
  <c r="D17" i="21"/>
  <c r="D34"/>
  <c r="C18"/>
  <c r="C17"/>
  <c r="G18"/>
  <c r="G17"/>
  <c r="E220" i="18"/>
  <c r="E219"/>
  <c r="E221" s="1"/>
  <c r="B57" i="21"/>
  <c r="D146" i="18"/>
  <c r="D154"/>
  <c r="D155" s="1"/>
  <c r="H146"/>
  <c r="H154"/>
  <c r="H155" s="1"/>
  <c r="E19" i="21"/>
  <c r="E42" s="1"/>
  <c r="D50"/>
  <c r="B51"/>
  <c r="C146" i="18"/>
  <c r="G146"/>
  <c r="E153"/>
  <c r="E154" s="1"/>
  <c r="E155" s="1"/>
  <c r="I153"/>
  <c r="I154" s="1"/>
  <c r="I155" s="1"/>
  <c r="F154"/>
  <c r="F155" s="1"/>
  <c r="E18" i="21"/>
  <c r="B20"/>
  <c r="E50"/>
  <c r="C153" i="18"/>
  <c r="C154" s="1"/>
  <c r="C155" s="1"/>
  <c r="G153"/>
  <c r="G154" s="1"/>
  <c r="G155" s="1"/>
  <c r="E17" i="21"/>
  <c r="F19"/>
  <c r="F42" s="1"/>
  <c r="D47" i="15" l="1"/>
  <c r="F32" i="2"/>
  <c r="E93" i="3" s="1"/>
  <c r="J32" i="2"/>
  <c r="I93" i="3" s="1"/>
  <c r="D51" i="15"/>
  <c r="E32" i="2"/>
  <c r="D93" i="3" s="1"/>
  <c r="I32" i="2"/>
  <c r="H93" i="3" s="1"/>
  <c r="D46" i="15"/>
  <c r="H32" i="2"/>
  <c r="G93" i="3" s="1"/>
  <c r="D48" i="15"/>
  <c r="G32" i="2"/>
  <c r="F93" i="3" s="1"/>
  <c r="D32" i="2"/>
  <c r="D19" i="3"/>
  <c r="D21" s="1"/>
  <c r="D113" s="1"/>
  <c r="D55" i="9"/>
  <c r="D55" i="6"/>
  <c r="D55" i="4"/>
  <c r="C176" i="12"/>
  <c r="C177" s="1"/>
  <c r="C119" i="13" s="1"/>
  <c r="D141" i="3"/>
  <c r="D201" s="1"/>
  <c r="D143" s="1"/>
  <c r="D143" i="12" s="1"/>
  <c r="D59" i="6"/>
  <c r="D69" s="1"/>
  <c r="I55" i="4"/>
  <c r="C55" i="16"/>
  <c r="B57"/>
  <c r="A57" s="1"/>
  <c r="D126" i="18"/>
  <c r="D127" s="1"/>
  <c r="C15" i="6"/>
  <c r="G126" i="18"/>
  <c r="G127" s="1"/>
  <c r="H126" i="12"/>
  <c r="H127" s="1"/>
  <c r="B57" i="6"/>
  <c r="A57" s="1"/>
  <c r="B57" i="13"/>
  <c r="A57" s="1"/>
  <c r="D176" i="18"/>
  <c r="D177" s="1"/>
  <c r="D141" i="11" s="1"/>
  <c r="L32" i="4"/>
  <c r="I55" i="6"/>
  <c r="I55" i="17"/>
  <c r="I141" i="3"/>
  <c r="C55" i="9"/>
  <c r="D59" i="4"/>
  <c r="D70" s="1"/>
  <c r="C141" i="3"/>
  <c r="C201" s="1"/>
  <c r="C143" s="1"/>
  <c r="C143" i="12" s="1"/>
  <c r="C144" s="1"/>
  <c r="I55" i="16"/>
  <c r="H21" i="3"/>
  <c r="H23" s="1"/>
  <c r="C55" i="4"/>
  <c r="D59" i="16"/>
  <c r="C55" i="6"/>
  <c r="D59" i="9"/>
  <c r="D70" s="1"/>
  <c r="E55" i="4"/>
  <c r="H59"/>
  <c r="H140" i="3"/>
  <c r="H103" i="17" s="1"/>
  <c r="E55" i="6"/>
  <c r="E55" i="17"/>
  <c r="E55" i="16"/>
  <c r="H55"/>
  <c r="H141" i="3"/>
  <c r="H59" i="17"/>
  <c r="C15"/>
  <c r="H135" i="2"/>
  <c r="D140" i="3"/>
  <c r="D103" i="17" s="1"/>
  <c r="I135" i="2"/>
  <c r="H55" i="9"/>
  <c r="H59" i="16"/>
  <c r="F126" i="12"/>
  <c r="F127" s="1"/>
  <c r="C256" i="3"/>
  <c r="H55" i="6"/>
  <c r="H59" i="9"/>
  <c r="C126" i="18"/>
  <c r="C127" s="1"/>
  <c r="H55" i="4"/>
  <c r="B50" i="21"/>
  <c r="G55" i="4"/>
  <c r="C206" i="12"/>
  <c r="B57" i="4"/>
  <c r="A57" s="1"/>
  <c r="B57" i="17"/>
  <c r="A57" s="1"/>
  <c r="B108" i="6"/>
  <c r="A108" s="1"/>
  <c r="F126" i="18"/>
  <c r="F127" s="1"/>
  <c r="C15" i="4"/>
  <c r="D38" i="2" s="1"/>
  <c r="C15" i="9"/>
  <c r="D209" i="3"/>
  <c r="D206" i="12" s="1"/>
  <c r="D176"/>
  <c r="D177" s="1"/>
  <c r="D119" i="13" s="1"/>
  <c r="B109" i="17"/>
  <c r="A109" s="1"/>
  <c r="H126" i="18"/>
  <c r="H127" s="1"/>
  <c r="A209" i="3"/>
  <c r="F55" i="16"/>
  <c r="E209" i="3"/>
  <c r="E206" i="12" s="1"/>
  <c r="E208" s="1"/>
  <c r="E209" s="1"/>
  <c r="F209" i="3"/>
  <c r="F206" i="18" s="1"/>
  <c r="F208" s="1"/>
  <c r="F209" s="1"/>
  <c r="B168" i="3"/>
  <c r="A168" s="1"/>
  <c r="D151"/>
  <c r="D152" s="1"/>
  <c r="D153" s="1"/>
  <c r="D160" s="1"/>
  <c r="D161" s="1"/>
  <c r="D149" s="1"/>
  <c r="J136" i="2"/>
  <c r="C126" i="12"/>
  <c r="C127" s="1"/>
  <c r="E170" i="3"/>
  <c r="E141" s="1"/>
  <c r="G55" i="6"/>
  <c r="G55" i="17"/>
  <c r="F55" i="9"/>
  <c r="G55" i="16"/>
  <c r="F55" i="4"/>
  <c r="C39" i="10"/>
  <c r="Y78" i="3"/>
  <c r="Z78" s="1"/>
  <c r="J135" i="2"/>
  <c r="C176" i="18"/>
  <c r="C177" s="1"/>
  <c r="C141" i="11" s="1"/>
  <c r="B57" i="9"/>
  <c r="A57" s="1"/>
  <c r="B62" i="11"/>
  <c r="A62" s="1"/>
  <c r="G126" i="12"/>
  <c r="G127" s="1"/>
  <c r="F55" i="6"/>
  <c r="D44" i="3"/>
  <c r="D45" s="1"/>
  <c r="C145"/>
  <c r="C148" s="1"/>
  <c r="E17"/>
  <c r="E20" s="1"/>
  <c r="E21" s="1"/>
  <c r="G59" i="17"/>
  <c r="G59" i="16"/>
  <c r="G59" i="9"/>
  <c r="G59" i="4"/>
  <c r="G59" i="6"/>
  <c r="G141" i="3"/>
  <c r="G140"/>
  <c r="G141" i="18"/>
  <c r="G55" i="11"/>
  <c r="F59" i="17"/>
  <c r="F59" i="16"/>
  <c r="F59" i="9"/>
  <c r="F59" i="4"/>
  <c r="F59" i="6"/>
  <c r="F18" i="17"/>
  <c r="F18" i="16"/>
  <c r="F18" i="9"/>
  <c r="F18" i="6"/>
  <c r="F18" i="4"/>
  <c r="G30" i="2" s="1"/>
  <c r="AC50" i="3"/>
  <c r="AD50" s="1"/>
  <c r="Y50"/>
  <c r="Z50" s="1"/>
  <c r="M50"/>
  <c r="V50"/>
  <c r="J50"/>
  <c r="AA50"/>
  <c r="AB50" s="1"/>
  <c r="S50"/>
  <c r="T50" s="1"/>
  <c r="P50"/>
  <c r="Q50" s="1"/>
  <c r="D100"/>
  <c r="D24"/>
  <c r="F141" i="18"/>
  <c r="F55" i="11"/>
  <c r="G55" i="13"/>
  <c r="G141" i="12"/>
  <c r="H55" i="13"/>
  <c r="H141" i="12"/>
  <c r="B27" i="8"/>
  <c r="AF27" i="4" s="1"/>
  <c r="AG27"/>
  <c r="M29"/>
  <c r="B29" i="5"/>
  <c r="C24"/>
  <c r="B260" i="3"/>
  <c r="A261" s="1"/>
  <c r="H54" i="4"/>
  <c r="B213" s="1"/>
  <c r="D213" s="1"/>
  <c r="AC72" i="3"/>
  <c r="AD72" s="1"/>
  <c r="Y72"/>
  <c r="Z72" s="1"/>
  <c r="M72"/>
  <c r="V72"/>
  <c r="J72"/>
  <c r="AA72"/>
  <c r="AB72" s="1"/>
  <c r="S72"/>
  <c r="T72" s="1"/>
  <c r="P72"/>
  <c r="Q72" s="1"/>
  <c r="AC64"/>
  <c r="AD64" s="1"/>
  <c r="Y64"/>
  <c r="Z64" s="1"/>
  <c r="M64"/>
  <c r="V64"/>
  <c r="J64"/>
  <c r="AA64"/>
  <c r="AB64" s="1"/>
  <c r="S64"/>
  <c r="T64" s="1"/>
  <c r="P64"/>
  <c r="Q64" s="1"/>
  <c r="AC56"/>
  <c r="AD56" s="1"/>
  <c r="Y56"/>
  <c r="Z56" s="1"/>
  <c r="M56"/>
  <c r="V56"/>
  <c r="J56"/>
  <c r="AA56"/>
  <c r="AB56" s="1"/>
  <c r="S56"/>
  <c r="T56" s="1"/>
  <c r="P56"/>
  <c r="Q56" s="1"/>
  <c r="AC48"/>
  <c r="AD48" s="1"/>
  <c r="Y48"/>
  <c r="Z48" s="1"/>
  <c r="M48"/>
  <c r="V48"/>
  <c r="J48"/>
  <c r="AA48"/>
  <c r="AB48" s="1"/>
  <c r="S48"/>
  <c r="T48" s="1"/>
  <c r="P48"/>
  <c r="Q48" s="1"/>
  <c r="H34"/>
  <c r="H151" s="1"/>
  <c r="H152" s="1"/>
  <c r="H153" s="1"/>
  <c r="H160" s="1"/>
  <c r="H100"/>
  <c r="H92"/>
  <c r="H24"/>
  <c r="C17"/>
  <c r="C20" s="1"/>
  <c r="E61" i="13"/>
  <c r="E185" i="12"/>
  <c r="E168" i="18"/>
  <c r="E64" i="11" s="1"/>
  <c r="E169" i="18"/>
  <c r="G145"/>
  <c r="G156"/>
  <c r="G157" s="1"/>
  <c r="G158" s="1"/>
  <c r="G63" i="11"/>
  <c r="B58" i="9"/>
  <c r="A58" s="1"/>
  <c r="C145" i="18"/>
  <c r="C156"/>
  <c r="C157" s="1"/>
  <c r="C158" s="1"/>
  <c r="C63" i="11"/>
  <c r="C140" i="12"/>
  <c r="C9" i="21"/>
  <c r="C9" i="8"/>
  <c r="C159" i="4"/>
  <c r="C150"/>
  <c r="C17"/>
  <c r="C159" i="13"/>
  <c r="C150"/>
  <c r="C17"/>
  <c r="C15" i="11"/>
  <c r="G78" i="12"/>
  <c r="G76"/>
  <c r="G74"/>
  <c r="G72"/>
  <c r="G70"/>
  <c r="G68"/>
  <c r="G66"/>
  <c r="G64"/>
  <c r="G62"/>
  <c r="G60"/>
  <c r="G58"/>
  <c r="G56"/>
  <c r="G54"/>
  <c r="G52"/>
  <c r="G50"/>
  <c r="G48"/>
  <c r="G15"/>
  <c r="G16" s="1"/>
  <c r="G9"/>
  <c r="G77"/>
  <c r="G75"/>
  <c r="G73"/>
  <c r="G71"/>
  <c r="G69"/>
  <c r="G67"/>
  <c r="G65"/>
  <c r="G63"/>
  <c r="G61"/>
  <c r="G59"/>
  <c r="G57"/>
  <c r="G55"/>
  <c r="G53"/>
  <c r="G51"/>
  <c r="G49"/>
  <c r="G20"/>
  <c r="G19"/>
  <c r="I42" i="5"/>
  <c r="S42" i="4" s="1"/>
  <c r="S35"/>
  <c r="B115" i="18"/>
  <c r="B115" i="12"/>
  <c r="C113" s="1"/>
  <c r="G18" i="17"/>
  <c r="G18" i="16"/>
  <c r="G18" i="9"/>
  <c r="G18" i="4"/>
  <c r="H30" i="2" s="1"/>
  <c r="G18" i="6"/>
  <c r="H17" i="3"/>
  <c r="H30"/>
  <c r="H31" s="1"/>
  <c r="H32" s="1"/>
  <c r="H33" s="1"/>
  <c r="H16"/>
  <c r="D10"/>
  <c r="D11" s="1"/>
  <c r="M38" i="4"/>
  <c r="B38" i="5"/>
  <c r="F61" i="13"/>
  <c r="F185" i="12"/>
  <c r="F169" i="18"/>
  <c r="F168"/>
  <c r="F64" i="11" s="1"/>
  <c r="H145" i="18"/>
  <c r="H156"/>
  <c r="H157" s="1"/>
  <c r="H158" s="1"/>
  <c r="H63" i="11"/>
  <c r="D115" i="9"/>
  <c r="D145" i="18"/>
  <c r="D156"/>
  <c r="D157" s="1"/>
  <c r="D158" s="1"/>
  <c r="D63" i="11"/>
  <c r="H144" i="18"/>
  <c r="H140"/>
  <c r="D150"/>
  <c r="D151" s="1"/>
  <c r="D152" s="1"/>
  <c r="D159" s="1"/>
  <c r="D15" i="11"/>
  <c r="D19"/>
  <c r="H19" i="12"/>
  <c r="H78"/>
  <c r="H76"/>
  <c r="H74"/>
  <c r="H72"/>
  <c r="H70"/>
  <c r="H68"/>
  <c r="H66"/>
  <c r="H64"/>
  <c r="H62"/>
  <c r="H60"/>
  <c r="H58"/>
  <c r="H56"/>
  <c r="H54"/>
  <c r="H52"/>
  <c r="H50"/>
  <c r="H48"/>
  <c r="H15"/>
  <c r="H16" s="1"/>
  <c r="H9"/>
  <c r="H77"/>
  <c r="H75"/>
  <c r="H73"/>
  <c r="H71"/>
  <c r="H69"/>
  <c r="H67"/>
  <c r="H65"/>
  <c r="H63"/>
  <c r="H61"/>
  <c r="H59"/>
  <c r="H57"/>
  <c r="H55"/>
  <c r="H53"/>
  <c r="H51"/>
  <c r="H49"/>
  <c r="H20"/>
  <c r="G51" i="9"/>
  <c r="C51"/>
  <c r="H51"/>
  <c r="D51"/>
  <c r="E51"/>
  <c r="F51"/>
  <c r="G223" i="12"/>
  <c r="C223"/>
  <c r="J3"/>
  <c r="K3" s="1"/>
  <c r="F2"/>
  <c r="F18" s="1"/>
  <c r="H223"/>
  <c r="D223"/>
  <c r="E3" i="13"/>
  <c r="E223" i="12"/>
  <c r="F223"/>
  <c r="I2"/>
  <c r="G235" i="18"/>
  <c r="C235"/>
  <c r="F227"/>
  <c r="C236"/>
  <c r="D235"/>
  <c r="G227"/>
  <c r="C227"/>
  <c r="E236"/>
  <c r="F235"/>
  <c r="E227"/>
  <c r="E235"/>
  <c r="D236"/>
  <c r="D227"/>
  <c r="H227"/>
  <c r="I2"/>
  <c r="J3"/>
  <c r="K3" s="1"/>
  <c r="F2"/>
  <c r="F18" s="1"/>
  <c r="E3" i="11"/>
  <c r="P35" i="4"/>
  <c r="F42" i="5"/>
  <c r="P42" i="4" s="1"/>
  <c r="O24"/>
  <c r="E49" i="5"/>
  <c r="E41"/>
  <c r="O41" i="4" s="1"/>
  <c r="H18" i="17"/>
  <c r="H18" i="16"/>
  <c r="H18" i="9"/>
  <c r="H18" i="4"/>
  <c r="I30" i="2" s="1"/>
  <c r="H18" i="6"/>
  <c r="AA73" i="3"/>
  <c r="AB73" s="1"/>
  <c r="S73"/>
  <c r="T73" s="1"/>
  <c r="P73"/>
  <c r="Q73" s="1"/>
  <c r="AC73"/>
  <c r="AD73" s="1"/>
  <c r="Y73"/>
  <c r="Z73" s="1"/>
  <c r="M73"/>
  <c r="V73"/>
  <c r="J73"/>
  <c r="AA65"/>
  <c r="AB65" s="1"/>
  <c r="S65"/>
  <c r="T65" s="1"/>
  <c r="P65"/>
  <c r="Q65" s="1"/>
  <c r="AC65"/>
  <c r="AD65" s="1"/>
  <c r="Y65"/>
  <c r="Z65" s="1"/>
  <c r="M65"/>
  <c r="V65"/>
  <c r="J65"/>
  <c r="AA57"/>
  <c r="AB57" s="1"/>
  <c r="S57"/>
  <c r="T57" s="1"/>
  <c r="P57"/>
  <c r="Q57" s="1"/>
  <c r="AC57"/>
  <c r="AD57" s="1"/>
  <c r="Y57"/>
  <c r="Z57" s="1"/>
  <c r="M57"/>
  <c r="V57"/>
  <c r="J57"/>
  <c r="AA49"/>
  <c r="AB49" s="1"/>
  <c r="S49"/>
  <c r="T49" s="1"/>
  <c r="P49"/>
  <c r="Q49" s="1"/>
  <c r="AC49"/>
  <c r="AD49" s="1"/>
  <c r="Y49"/>
  <c r="Z49" s="1"/>
  <c r="M49"/>
  <c r="V49"/>
  <c r="J49"/>
  <c r="C61" i="13"/>
  <c r="C185" i="12"/>
  <c r="C69" i="4"/>
  <c r="B60"/>
  <c r="A60" s="1"/>
  <c r="C69" i="16"/>
  <c r="B60"/>
  <c r="A60" s="1"/>
  <c r="G169" i="18"/>
  <c r="G168"/>
  <c r="G64" i="11" s="1"/>
  <c r="S27" i="4"/>
  <c r="I28" i="5"/>
  <c r="S28" i="4" s="1"/>
  <c r="O27"/>
  <c r="E28" i="5"/>
  <c r="O28" i="4" s="1"/>
  <c r="E144" i="18"/>
  <c r="E140"/>
  <c r="C13" i="13"/>
  <c r="C38" i="12"/>
  <c r="C39" s="1"/>
  <c r="C42" i="5"/>
  <c r="M35" i="4"/>
  <c r="B35" i="5"/>
  <c r="F206" i="12"/>
  <c r="F208" s="1"/>
  <c r="F209" s="1"/>
  <c r="E18" i="17"/>
  <c r="E18" i="16"/>
  <c r="E18" i="9"/>
  <c r="E18" i="4"/>
  <c r="F30" i="2" s="1"/>
  <c r="E18" i="6"/>
  <c r="A35" i="3"/>
  <c r="A34"/>
  <c r="D61" i="13"/>
  <c r="D185" i="12"/>
  <c r="D198" i="18"/>
  <c r="D65" i="11"/>
  <c r="D168" i="18"/>
  <c r="D64" i="11" s="1"/>
  <c r="D169" i="18"/>
  <c r="F156"/>
  <c r="F157" s="1"/>
  <c r="F158" s="1"/>
  <c r="F145"/>
  <c r="F63" i="11"/>
  <c r="I133" i="18"/>
  <c r="F144"/>
  <c r="F140"/>
  <c r="F77" i="12"/>
  <c r="F75"/>
  <c r="F73"/>
  <c r="F71"/>
  <c r="F69"/>
  <c r="F67"/>
  <c r="F65"/>
  <c r="F63"/>
  <c r="F61"/>
  <c r="F59"/>
  <c r="F57"/>
  <c r="F55"/>
  <c r="F53"/>
  <c r="F51"/>
  <c r="F49"/>
  <c r="F20"/>
  <c r="F19"/>
  <c r="F78"/>
  <c r="F76"/>
  <c r="F74"/>
  <c r="F72"/>
  <c r="F70"/>
  <c r="F68"/>
  <c r="F66"/>
  <c r="F64"/>
  <c r="F62"/>
  <c r="F60"/>
  <c r="F58"/>
  <c r="F56"/>
  <c r="F54"/>
  <c r="F52"/>
  <c r="F50"/>
  <c r="F48"/>
  <c r="F15"/>
  <c r="F9"/>
  <c r="B22" i="7"/>
  <c r="B109" i="4"/>
  <c r="A109" s="1"/>
  <c r="B109" i="16"/>
  <c r="A109" s="1"/>
  <c r="I21" i="3"/>
  <c r="B68" i="16"/>
  <c r="A68" s="1"/>
  <c r="B64" i="6"/>
  <c r="A64" s="1"/>
  <c r="B64" i="17"/>
  <c r="A64" s="1"/>
  <c r="B56" i="4"/>
  <c r="A56" s="1"/>
  <c r="B56" i="16"/>
  <c r="A56" s="1"/>
  <c r="B66" i="13"/>
  <c r="A66" s="1"/>
  <c r="B61" i="6"/>
  <c r="A61" s="1"/>
  <c r="B61" i="17"/>
  <c r="A61" s="1"/>
  <c r="C19" i="3"/>
  <c r="C21" s="1"/>
  <c r="D69" i="9"/>
  <c r="I126" i="18"/>
  <c r="I127" s="1"/>
  <c r="B49" i="4"/>
  <c r="B49" i="17"/>
  <c r="AA78" i="3"/>
  <c r="AB78" s="1"/>
  <c r="M78"/>
  <c r="E44"/>
  <c r="E45" s="1"/>
  <c r="I148"/>
  <c r="E148"/>
  <c r="H141" i="18"/>
  <c r="H55" i="11"/>
  <c r="I55" i="13"/>
  <c r="I141" i="12"/>
  <c r="D55" i="13"/>
  <c r="D141" i="12"/>
  <c r="D199" s="1"/>
  <c r="C300" i="11"/>
  <c r="C303" s="1"/>
  <c r="D56" s="1"/>
  <c r="F300"/>
  <c r="F303" s="1"/>
  <c r="G56" s="1"/>
  <c r="AC74" i="3"/>
  <c r="AD74" s="1"/>
  <c r="Y74"/>
  <c r="Z74" s="1"/>
  <c r="M74"/>
  <c r="V74"/>
  <c r="J74"/>
  <c r="AA74"/>
  <c r="AB74" s="1"/>
  <c r="S74"/>
  <c r="T74" s="1"/>
  <c r="P74"/>
  <c r="Q74" s="1"/>
  <c r="E28" i="21"/>
  <c r="G28"/>
  <c r="F55" i="13"/>
  <c r="F141" i="12"/>
  <c r="G300" i="11"/>
  <c r="G303" s="1"/>
  <c r="H56" s="1"/>
  <c r="AK27" i="4"/>
  <c r="B300" i="11"/>
  <c r="B303" s="1"/>
  <c r="C56" s="1"/>
  <c r="Q24" i="4"/>
  <c r="G49" i="5"/>
  <c r="Q49" i="4" s="1"/>
  <c r="G41" i="5"/>
  <c r="Q41" i="4" s="1"/>
  <c r="AC70" i="3"/>
  <c r="AD70" s="1"/>
  <c r="Y70"/>
  <c r="Z70" s="1"/>
  <c r="M70"/>
  <c r="V70"/>
  <c r="J70"/>
  <c r="AA70"/>
  <c r="AB70" s="1"/>
  <c r="S70"/>
  <c r="T70" s="1"/>
  <c r="P70"/>
  <c r="Q70" s="1"/>
  <c r="AC62"/>
  <c r="AD62" s="1"/>
  <c r="Y62"/>
  <c r="Z62" s="1"/>
  <c r="M62"/>
  <c r="V62"/>
  <c r="J62"/>
  <c r="AA62"/>
  <c r="AB62" s="1"/>
  <c r="S62"/>
  <c r="T62" s="1"/>
  <c r="P62"/>
  <c r="Q62" s="1"/>
  <c r="AC54"/>
  <c r="AD54" s="1"/>
  <c r="Y54"/>
  <c r="Z54" s="1"/>
  <c r="M54"/>
  <c r="V54"/>
  <c r="J54"/>
  <c r="AA54"/>
  <c r="AB54" s="1"/>
  <c r="S54"/>
  <c r="T54" s="1"/>
  <c r="P54"/>
  <c r="Q54" s="1"/>
  <c r="G17"/>
  <c r="G30"/>
  <c r="G31" s="1"/>
  <c r="G32" s="1"/>
  <c r="G33" s="1"/>
  <c r="G113" s="1"/>
  <c r="C10"/>
  <c r="C11" s="1"/>
  <c r="E169" i="12"/>
  <c r="E168"/>
  <c r="E59" i="13" s="1"/>
  <c r="B58" i="4"/>
  <c r="A58" s="1"/>
  <c r="B58" i="17"/>
  <c r="A58" s="1"/>
  <c r="G144" i="18"/>
  <c r="G140"/>
  <c r="E38"/>
  <c r="E39" s="1"/>
  <c r="E13" i="11"/>
  <c r="C150" i="9"/>
  <c r="C17"/>
  <c r="C159"/>
  <c r="C175" i="11"/>
  <c r="C17"/>
  <c r="C172"/>
  <c r="C15" i="13"/>
  <c r="C15" i="18"/>
  <c r="C19" s="1"/>
  <c r="C21" s="1"/>
  <c r="C9"/>
  <c r="D41" i="5"/>
  <c r="N41" i="4" s="1"/>
  <c r="N24"/>
  <c r="A175" i="3"/>
  <c r="A176"/>
  <c r="C59" i="17"/>
  <c r="C70" s="1"/>
  <c r="C59" i="16"/>
  <c r="C59" i="9"/>
  <c r="C59" i="4"/>
  <c r="C59" i="6"/>
  <c r="C43" i="3"/>
  <c r="C40"/>
  <c r="C41" s="1"/>
  <c r="C42" s="1"/>
  <c r="E24"/>
  <c r="H192"/>
  <c r="E34"/>
  <c r="E114" i="6" s="1"/>
  <c r="K18" i="3"/>
  <c r="I192"/>
  <c r="E192"/>
  <c r="E100"/>
  <c r="E92"/>
  <c r="H10"/>
  <c r="H12" s="1"/>
  <c r="H11"/>
  <c r="F168" i="12"/>
  <c r="F59" i="13" s="1"/>
  <c r="F169" i="12"/>
  <c r="D115" i="4"/>
  <c r="D115" i="17"/>
  <c r="H140" i="12"/>
  <c r="H144"/>
  <c r="D150"/>
  <c r="D151" s="1"/>
  <c r="D152" s="1"/>
  <c r="D159" s="1"/>
  <c r="D19" i="13"/>
  <c r="D15"/>
  <c r="D15" i="18"/>
  <c r="D17" s="1"/>
  <c r="D20" s="1"/>
  <c r="D9"/>
  <c r="E21" i="5"/>
  <c r="O21" i="4" s="1"/>
  <c r="F21" i="5"/>
  <c r="P21" i="4" s="1"/>
  <c r="A60" i="5"/>
  <c r="G21"/>
  <c r="Q21" i="4" s="1"/>
  <c r="C21" i="5"/>
  <c r="M21" i="4" s="1"/>
  <c r="H21" i="5"/>
  <c r="R21" i="4" s="1"/>
  <c r="D21" i="5"/>
  <c r="N21" i="4" s="1"/>
  <c r="O3"/>
  <c r="F51" i="17"/>
  <c r="G51"/>
  <c r="C51"/>
  <c r="H51"/>
  <c r="D51"/>
  <c r="E51"/>
  <c r="S24" i="4"/>
  <c r="I49" i="5"/>
  <c r="S49" i="4" s="1"/>
  <c r="I41" i="5"/>
  <c r="S41" i="4" s="1"/>
  <c r="E93" i="18"/>
  <c r="E16" i="11" s="1"/>
  <c r="E16" i="17"/>
  <c r="E16" i="16"/>
  <c r="E93" i="12"/>
  <c r="E16" i="13" s="1"/>
  <c r="E16" i="9"/>
  <c r="E16" i="6"/>
  <c r="E16" i="4"/>
  <c r="AA71" i="3"/>
  <c r="AB71" s="1"/>
  <c r="S71"/>
  <c r="T71" s="1"/>
  <c r="P71"/>
  <c r="Q71" s="1"/>
  <c r="AC71"/>
  <c r="AD71" s="1"/>
  <c r="Y71"/>
  <c r="Z71" s="1"/>
  <c r="M71"/>
  <c r="V71"/>
  <c r="J71"/>
  <c r="AA63"/>
  <c r="AB63" s="1"/>
  <c r="S63"/>
  <c r="T63" s="1"/>
  <c r="P63"/>
  <c r="Q63" s="1"/>
  <c r="AC63"/>
  <c r="AD63" s="1"/>
  <c r="Y63"/>
  <c r="Z63" s="1"/>
  <c r="M63"/>
  <c r="V63"/>
  <c r="J63"/>
  <c r="AA55"/>
  <c r="AB55" s="1"/>
  <c r="S55"/>
  <c r="T55" s="1"/>
  <c r="P55"/>
  <c r="Q55" s="1"/>
  <c r="AC55"/>
  <c r="AD55" s="1"/>
  <c r="Y55"/>
  <c r="Z55" s="1"/>
  <c r="M55"/>
  <c r="V55"/>
  <c r="J55"/>
  <c r="I17"/>
  <c r="I30"/>
  <c r="I31" s="1"/>
  <c r="I32" s="1"/>
  <c r="I33" s="1"/>
  <c r="I113" s="1"/>
  <c r="C60" i="13"/>
  <c r="C198" i="12"/>
  <c r="G169"/>
  <c r="G168"/>
  <c r="G59" i="13" s="1"/>
  <c r="I58"/>
  <c r="I145" i="12"/>
  <c r="I156"/>
  <c r="I157" s="1"/>
  <c r="I158" s="1"/>
  <c r="E58" i="13"/>
  <c r="E145" i="12"/>
  <c r="E156"/>
  <c r="E157" s="1"/>
  <c r="E158" s="1"/>
  <c r="E140"/>
  <c r="E144"/>
  <c r="C38" i="18"/>
  <c r="C39" s="1"/>
  <c r="C13" i="11"/>
  <c r="I78" i="18"/>
  <c r="I76"/>
  <c r="I72"/>
  <c r="I70"/>
  <c r="I68"/>
  <c r="I66"/>
  <c r="I64"/>
  <c r="I62"/>
  <c r="I60"/>
  <c r="I58"/>
  <c r="I56"/>
  <c r="I54"/>
  <c r="I52"/>
  <c r="I50"/>
  <c r="I48"/>
  <c r="I77"/>
  <c r="I74"/>
  <c r="I73"/>
  <c r="I71"/>
  <c r="I69"/>
  <c r="I67"/>
  <c r="I65"/>
  <c r="I63"/>
  <c r="I61"/>
  <c r="I59"/>
  <c r="I57"/>
  <c r="I55"/>
  <c r="I53"/>
  <c r="I51"/>
  <c r="I75"/>
  <c r="I19"/>
  <c r="I49"/>
  <c r="I15"/>
  <c r="I16" s="1"/>
  <c r="I9"/>
  <c r="I20"/>
  <c r="E78"/>
  <c r="E76"/>
  <c r="E72"/>
  <c r="E70"/>
  <c r="E68"/>
  <c r="E66"/>
  <c r="E64"/>
  <c r="E62"/>
  <c r="E60"/>
  <c r="E58"/>
  <c r="E56"/>
  <c r="E54"/>
  <c r="E52"/>
  <c r="E50"/>
  <c r="E48"/>
  <c r="E77"/>
  <c r="E75"/>
  <c r="E73"/>
  <c r="E71"/>
  <c r="E69"/>
  <c r="E67"/>
  <c r="E65"/>
  <c r="E63"/>
  <c r="E61"/>
  <c r="E59"/>
  <c r="E57"/>
  <c r="E55"/>
  <c r="E53"/>
  <c r="E51"/>
  <c r="E74"/>
  <c r="E49"/>
  <c r="E15"/>
  <c r="E16" s="1"/>
  <c r="E9"/>
  <c r="K8"/>
  <c r="G42" i="5"/>
  <c r="Q42" i="4" s="1"/>
  <c r="Q35"/>
  <c r="F30" i="3"/>
  <c r="F31" s="1"/>
  <c r="F32" s="1"/>
  <c r="F33" s="1"/>
  <c r="F113" s="1"/>
  <c r="F21"/>
  <c r="F17"/>
  <c r="D169" i="12"/>
  <c r="D168"/>
  <c r="D59" i="13" s="1"/>
  <c r="F140" i="12"/>
  <c r="F144"/>
  <c r="B109" i="13"/>
  <c r="A109" s="1"/>
  <c r="B67" i="6"/>
  <c r="A67" s="1"/>
  <c r="B68" i="13"/>
  <c r="A68" s="1"/>
  <c r="B64" i="4"/>
  <c r="A64" s="1"/>
  <c r="B64" i="16"/>
  <c r="A64" s="1"/>
  <c r="B56" i="13"/>
  <c r="A56" s="1"/>
  <c r="B66" i="9"/>
  <c r="A66" s="1"/>
  <c r="B71" i="11"/>
  <c r="A71" s="1"/>
  <c r="B61" i="4"/>
  <c r="A61" s="1"/>
  <c r="C13" i="9"/>
  <c r="G21" i="3"/>
  <c r="D68" i="6"/>
  <c r="D69" i="17"/>
  <c r="I126" i="12"/>
  <c r="I127" s="1"/>
  <c r="B49" i="6"/>
  <c r="B49" i="16"/>
  <c r="S78" i="3"/>
  <c r="T78" s="1"/>
  <c r="I136" i="2"/>
  <c r="C140" i="3"/>
  <c r="H42" i="5"/>
  <c r="R42" i="4" s="1"/>
  <c r="R35"/>
  <c r="AC66" i="3"/>
  <c r="AD66" s="1"/>
  <c r="Y66"/>
  <c r="Z66" s="1"/>
  <c r="M66"/>
  <c r="V66"/>
  <c r="J66"/>
  <c r="AA66"/>
  <c r="AB66" s="1"/>
  <c r="S66"/>
  <c r="T66" s="1"/>
  <c r="P66"/>
  <c r="Q66" s="1"/>
  <c r="D141" i="18"/>
  <c r="D199" s="1"/>
  <c r="D55" i="11"/>
  <c r="C141" i="18"/>
  <c r="C199" s="1"/>
  <c r="C55" i="11"/>
  <c r="B18" i="21"/>
  <c r="C28"/>
  <c r="E55" i="13"/>
  <c r="E141" i="12"/>
  <c r="C55" i="13"/>
  <c r="C141" i="12"/>
  <c r="C199" s="1"/>
  <c r="AJ27" i="4"/>
  <c r="D42" i="5"/>
  <c r="N42" i="4" s="1"/>
  <c r="N35"/>
  <c r="M25"/>
  <c r="B25" i="5"/>
  <c r="C119" i="17"/>
  <c r="C119" i="16"/>
  <c r="C119" i="9"/>
  <c r="C118" i="6"/>
  <c r="C119" i="4"/>
  <c r="F140" i="3"/>
  <c r="F145"/>
  <c r="F148" s="1"/>
  <c r="AC68"/>
  <c r="AD68" s="1"/>
  <c r="Y68"/>
  <c r="Z68" s="1"/>
  <c r="M68"/>
  <c r="V68"/>
  <c r="J68"/>
  <c r="AA68"/>
  <c r="AB68" s="1"/>
  <c r="S68"/>
  <c r="T68" s="1"/>
  <c r="P68"/>
  <c r="Q68" s="1"/>
  <c r="AC60"/>
  <c r="AD60" s="1"/>
  <c r="Y60"/>
  <c r="Z60" s="1"/>
  <c r="M60"/>
  <c r="V60"/>
  <c r="J60"/>
  <c r="AA60"/>
  <c r="AB60" s="1"/>
  <c r="S60"/>
  <c r="T60" s="1"/>
  <c r="P60"/>
  <c r="Q60" s="1"/>
  <c r="AC52"/>
  <c r="AD52" s="1"/>
  <c r="Y52"/>
  <c r="Z52" s="1"/>
  <c r="M52"/>
  <c r="V52"/>
  <c r="J52"/>
  <c r="AA52"/>
  <c r="AB52" s="1"/>
  <c r="S52"/>
  <c r="T52" s="1"/>
  <c r="P52"/>
  <c r="Q52" s="1"/>
  <c r="H22"/>
  <c r="G11"/>
  <c r="G10"/>
  <c r="G12" s="1"/>
  <c r="C65" i="13"/>
  <c r="B65" s="1"/>
  <c r="A65" s="1"/>
  <c r="C150" i="12"/>
  <c r="M30" i="4"/>
  <c r="C31" i="5"/>
  <c r="I168" i="18"/>
  <c r="I64" i="11" s="1"/>
  <c r="I169" i="18"/>
  <c r="B58" i="6"/>
  <c r="A58" s="1"/>
  <c r="B58" i="16"/>
  <c r="A58" s="1"/>
  <c r="G144" i="12"/>
  <c r="G140"/>
  <c r="E38"/>
  <c r="E39" s="1"/>
  <c r="E13" i="13"/>
  <c r="C150" i="17"/>
  <c r="C17"/>
  <c r="C159"/>
  <c r="C15" i="12"/>
  <c r="C19" s="1"/>
  <c r="C21" s="1"/>
  <c r="C9"/>
  <c r="H49" i="5"/>
  <c r="R49" i="4" s="1"/>
  <c r="H41" i="5"/>
  <c r="R41" i="4" s="1"/>
  <c r="R24"/>
  <c r="D119" i="17"/>
  <c r="D119" i="16"/>
  <c r="D119" i="9"/>
  <c r="D118" i="6"/>
  <c r="D119" i="4"/>
  <c r="E113" i="2" s="1"/>
  <c r="E117" s="1"/>
  <c r="I24" i="3"/>
  <c r="I34"/>
  <c r="I115" i="16" s="1"/>
  <c r="I100" i="3"/>
  <c r="I92"/>
  <c r="B37" i="5"/>
  <c r="M37" i="4"/>
  <c r="B34" i="5"/>
  <c r="M34" i="4"/>
  <c r="D31" i="5"/>
  <c r="N31" i="4" s="1"/>
  <c r="N30"/>
  <c r="D114" i="6"/>
  <c r="D115" i="16"/>
  <c r="D140" i="18"/>
  <c r="D144"/>
  <c r="D15" i="12"/>
  <c r="D17" s="1"/>
  <c r="D20" s="1"/>
  <c r="D9"/>
  <c r="C199" i="6"/>
  <c r="W37" i="4" s="1"/>
  <c r="G51" i="6"/>
  <c r="C51"/>
  <c r="H51"/>
  <c r="D51"/>
  <c r="E51"/>
  <c r="F51"/>
  <c r="F51" i="16"/>
  <c r="G51"/>
  <c r="C51"/>
  <c r="H51"/>
  <c r="D51"/>
  <c r="E51"/>
  <c r="I93" i="18"/>
  <c r="I16" i="11" s="1"/>
  <c r="I16" i="17"/>
  <c r="I16" i="16"/>
  <c r="I93" i="12"/>
  <c r="I16" i="13" s="1"/>
  <c r="I16" i="9"/>
  <c r="I16" i="6"/>
  <c r="I16" i="4"/>
  <c r="AA69" i="3"/>
  <c r="AB69" s="1"/>
  <c r="S69"/>
  <c r="T69" s="1"/>
  <c r="P69"/>
  <c r="Q69" s="1"/>
  <c r="AC69"/>
  <c r="AD69" s="1"/>
  <c r="Y69"/>
  <c r="Z69" s="1"/>
  <c r="M69"/>
  <c r="V69"/>
  <c r="J69"/>
  <c r="AA61"/>
  <c r="AB61" s="1"/>
  <c r="S61"/>
  <c r="T61" s="1"/>
  <c r="P61"/>
  <c r="Q61" s="1"/>
  <c r="AC61"/>
  <c r="AD61" s="1"/>
  <c r="Y61"/>
  <c r="Z61" s="1"/>
  <c r="M61"/>
  <c r="V61"/>
  <c r="J61"/>
  <c r="AA53"/>
  <c r="AB53" s="1"/>
  <c r="S53"/>
  <c r="T53" s="1"/>
  <c r="P53"/>
  <c r="Q53" s="1"/>
  <c r="AC53"/>
  <c r="AD53" s="1"/>
  <c r="Y53"/>
  <c r="Z53" s="1"/>
  <c r="M53"/>
  <c r="V53"/>
  <c r="J53"/>
  <c r="F192"/>
  <c r="F100"/>
  <c r="F92"/>
  <c r="F24"/>
  <c r="F34"/>
  <c r="F115" i="17" s="1"/>
  <c r="E10" i="3"/>
  <c r="E12" s="1"/>
  <c r="C69" i="9"/>
  <c r="B60"/>
  <c r="A60" s="1"/>
  <c r="C198" i="18"/>
  <c r="C65" i="11"/>
  <c r="C169" i="18"/>
  <c r="C168"/>
  <c r="C64" i="11" s="1"/>
  <c r="I156" i="18"/>
  <c r="I157" s="1"/>
  <c r="I158" s="1"/>
  <c r="I145"/>
  <c r="I63" i="11"/>
  <c r="E156" i="18"/>
  <c r="E157" s="1"/>
  <c r="E158" s="1"/>
  <c r="E145"/>
  <c r="E63" i="11"/>
  <c r="I144" i="18"/>
  <c r="I140"/>
  <c r="F98"/>
  <c r="F18" i="11" s="1"/>
  <c r="G98" i="18"/>
  <c r="G18" i="11" s="1"/>
  <c r="C98" i="18"/>
  <c r="C18" i="11" s="1"/>
  <c r="I98" i="18"/>
  <c r="I18" i="11" s="1"/>
  <c r="E98" i="18"/>
  <c r="E18" i="11" s="1"/>
  <c r="D98" i="18"/>
  <c r="D18" i="11" s="1"/>
  <c r="H98" i="18"/>
  <c r="H18" i="11" s="1"/>
  <c r="I77" i="12"/>
  <c r="I75"/>
  <c r="I73"/>
  <c r="I71"/>
  <c r="I69"/>
  <c r="I67"/>
  <c r="I65"/>
  <c r="I63"/>
  <c r="I61"/>
  <c r="I59"/>
  <c r="I57"/>
  <c r="I55"/>
  <c r="I53"/>
  <c r="I51"/>
  <c r="I49"/>
  <c r="I20"/>
  <c r="I19"/>
  <c r="I78"/>
  <c r="I76"/>
  <c r="I74"/>
  <c r="I72"/>
  <c r="I70"/>
  <c r="I68"/>
  <c r="I66"/>
  <c r="I64"/>
  <c r="I62"/>
  <c r="I60"/>
  <c r="I58"/>
  <c r="I56"/>
  <c r="I54"/>
  <c r="I52"/>
  <c r="I50"/>
  <c r="I48"/>
  <c r="I15"/>
  <c r="I16" s="1"/>
  <c r="I9"/>
  <c r="E77"/>
  <c r="E75"/>
  <c r="E73"/>
  <c r="E71"/>
  <c r="E69"/>
  <c r="E67"/>
  <c r="E65"/>
  <c r="E63"/>
  <c r="E61"/>
  <c r="E59"/>
  <c r="E57"/>
  <c r="E55"/>
  <c r="E53"/>
  <c r="E51"/>
  <c r="E49"/>
  <c r="E78"/>
  <c r="E76"/>
  <c r="E74"/>
  <c r="E72"/>
  <c r="E70"/>
  <c r="E68"/>
  <c r="E66"/>
  <c r="E64"/>
  <c r="E62"/>
  <c r="E60"/>
  <c r="E58"/>
  <c r="E56"/>
  <c r="E54"/>
  <c r="E52"/>
  <c r="E50"/>
  <c r="E48"/>
  <c r="E15"/>
  <c r="E16" s="1"/>
  <c r="E9"/>
  <c r="K8"/>
  <c r="M36" i="4"/>
  <c r="B36" i="5"/>
  <c r="P24" i="4"/>
  <c r="F49" i="5"/>
  <c r="P49" i="4" s="1"/>
  <c r="F41" i="5"/>
  <c r="P41" i="4" s="1"/>
  <c r="I59" i="17"/>
  <c r="I59" i="16"/>
  <c r="I59" i="9"/>
  <c r="I59" i="6"/>
  <c r="I59" i="4"/>
  <c r="A132" i="3"/>
  <c r="A129"/>
  <c r="C203"/>
  <c r="C214" s="1"/>
  <c r="C24"/>
  <c r="F11"/>
  <c r="F10"/>
  <c r="F12" s="1"/>
  <c r="M50" i="4"/>
  <c r="B50" i="5"/>
  <c r="H168" i="18"/>
  <c r="H64" i="11" s="1"/>
  <c r="H169" i="18"/>
  <c r="D38" i="12"/>
  <c r="D39" s="1"/>
  <c r="B109" i="9"/>
  <c r="A109" s="1"/>
  <c r="D148" i="3"/>
  <c r="B68" i="9"/>
  <c r="A68" s="1"/>
  <c r="B75" i="11"/>
  <c r="A75" s="1"/>
  <c r="B64" i="13"/>
  <c r="A64" s="1"/>
  <c r="B56" i="9"/>
  <c r="A56" s="1"/>
  <c r="B61" i="11"/>
  <c r="A61" s="1"/>
  <c r="B66" i="6"/>
  <c r="A66" s="1"/>
  <c r="B66" i="17"/>
  <c r="A66" s="1"/>
  <c r="B61" i="9"/>
  <c r="A61" s="1"/>
  <c r="C13" i="4"/>
  <c r="C13" i="17"/>
  <c r="C113" i="3"/>
  <c r="D69" i="4"/>
  <c r="D69" i="16"/>
  <c r="E126" i="18"/>
  <c r="E127" s="1"/>
  <c r="B49" i="13"/>
  <c r="P78" i="3"/>
  <c r="Q78" s="1"/>
  <c r="V78"/>
  <c r="AC78"/>
  <c r="AD78" s="1"/>
  <c r="G16"/>
  <c r="G95" s="1"/>
  <c r="D70" i="17"/>
  <c r="I16" i="3"/>
  <c r="F141"/>
  <c r="D28" i="21"/>
  <c r="E141" i="18"/>
  <c r="E55" i="11"/>
  <c r="E300"/>
  <c r="E303" s="1"/>
  <c r="F56" s="1"/>
  <c r="AC58" i="3"/>
  <c r="AD58" s="1"/>
  <c r="Y58"/>
  <c r="Z58" s="1"/>
  <c r="M58"/>
  <c r="V58"/>
  <c r="J58"/>
  <c r="AA58"/>
  <c r="AB58" s="1"/>
  <c r="S58"/>
  <c r="T58" s="1"/>
  <c r="P58"/>
  <c r="Q58" s="1"/>
  <c r="C150" i="18"/>
  <c r="C70" i="11"/>
  <c r="B70" s="1"/>
  <c r="A70" s="1"/>
  <c r="E185" i="18"/>
  <c r="E66" i="11"/>
  <c r="I169" i="12"/>
  <c r="I168"/>
  <c r="I59" i="13" s="1"/>
  <c r="M26" i="4"/>
  <c r="B26" i="5"/>
  <c r="Q27" i="4"/>
  <c r="G28" i="5"/>
  <c r="Q28" i="4" s="1"/>
  <c r="G58" i="13"/>
  <c r="G156" i="12"/>
  <c r="G157" s="1"/>
  <c r="G158" s="1"/>
  <c r="G145"/>
  <c r="M27" i="4"/>
  <c r="C28" i="5"/>
  <c r="C58" i="13"/>
  <c r="C156" i="12"/>
  <c r="C157" s="1"/>
  <c r="C158" s="1"/>
  <c r="C145"/>
  <c r="C144" i="18"/>
  <c r="C140"/>
  <c r="C158" i="6"/>
  <c r="C149"/>
  <c r="C17"/>
  <c r="C159" i="16"/>
  <c r="C150"/>
  <c r="C17"/>
  <c r="G77" i="18"/>
  <c r="G78"/>
  <c r="G73"/>
  <c r="G71"/>
  <c r="G69"/>
  <c r="G67"/>
  <c r="G65"/>
  <c r="G63"/>
  <c r="G61"/>
  <c r="G59"/>
  <c r="G57"/>
  <c r="G55"/>
  <c r="G53"/>
  <c r="G51"/>
  <c r="G49"/>
  <c r="G74"/>
  <c r="G75"/>
  <c r="G72"/>
  <c r="G70"/>
  <c r="G68"/>
  <c r="G66"/>
  <c r="G64"/>
  <c r="G62"/>
  <c r="G60"/>
  <c r="G58"/>
  <c r="G56"/>
  <c r="G54"/>
  <c r="G52"/>
  <c r="G76"/>
  <c r="G20"/>
  <c r="G48"/>
  <c r="G19"/>
  <c r="G50"/>
  <c r="G15"/>
  <c r="G9"/>
  <c r="E42" i="5"/>
  <c r="O42" i="4" s="1"/>
  <c r="O35"/>
  <c r="A184" i="3"/>
  <c r="A186"/>
  <c r="A181"/>
  <c r="A182"/>
  <c r="A169"/>
  <c r="A166"/>
  <c r="A167"/>
  <c r="A263"/>
  <c r="C18" i="17"/>
  <c r="C18" i="16"/>
  <c r="C18" i="9"/>
  <c r="C18" i="4"/>
  <c r="C18" i="6"/>
  <c r="AA77" i="3"/>
  <c r="AB77" s="1"/>
  <c r="S77"/>
  <c r="T77" s="1"/>
  <c r="AC76"/>
  <c r="AD76" s="1"/>
  <c r="Y76"/>
  <c r="Z76" s="1"/>
  <c r="M76"/>
  <c r="P77"/>
  <c r="Q77" s="1"/>
  <c r="V76"/>
  <c r="J76"/>
  <c r="AC77"/>
  <c r="AD77" s="1"/>
  <c r="Y77"/>
  <c r="Z77" s="1"/>
  <c r="M77"/>
  <c r="AA76"/>
  <c r="AB76" s="1"/>
  <c r="S76"/>
  <c r="T76" s="1"/>
  <c r="V77"/>
  <c r="J77"/>
  <c r="P76"/>
  <c r="Q76" s="1"/>
  <c r="F185" i="18"/>
  <c r="F66" i="11"/>
  <c r="H28" i="5"/>
  <c r="R28" i="4" s="1"/>
  <c r="R27"/>
  <c r="H58" i="13"/>
  <c r="H145" i="12"/>
  <c r="H156"/>
  <c r="H157" s="1"/>
  <c r="H158" s="1"/>
  <c r="D28" i="5"/>
  <c r="N28" i="4" s="1"/>
  <c r="N27"/>
  <c r="D58" i="13"/>
  <c r="D145" i="12"/>
  <c r="D156"/>
  <c r="D157" s="1"/>
  <c r="D158" s="1"/>
  <c r="D140"/>
  <c r="D144"/>
  <c r="H77" i="18"/>
  <c r="H75"/>
  <c r="H78"/>
  <c r="H76"/>
  <c r="H74"/>
  <c r="H73"/>
  <c r="H71"/>
  <c r="H69"/>
  <c r="H67"/>
  <c r="H65"/>
  <c r="H63"/>
  <c r="H61"/>
  <c r="H59"/>
  <c r="H57"/>
  <c r="H55"/>
  <c r="H53"/>
  <c r="H51"/>
  <c r="H49"/>
  <c r="H72"/>
  <c r="H70"/>
  <c r="H68"/>
  <c r="H66"/>
  <c r="H64"/>
  <c r="H62"/>
  <c r="H60"/>
  <c r="H58"/>
  <c r="H56"/>
  <c r="H54"/>
  <c r="H52"/>
  <c r="H50"/>
  <c r="H48"/>
  <c r="H15"/>
  <c r="H16" s="1"/>
  <c r="H9"/>
  <c r="H20"/>
  <c r="H19"/>
  <c r="D18" i="17"/>
  <c r="D18" i="16"/>
  <c r="D18" i="9"/>
  <c r="D18" i="4"/>
  <c r="E30" i="2" s="1"/>
  <c r="D18" i="6"/>
  <c r="AA75" i="3"/>
  <c r="AB75" s="1"/>
  <c r="S75"/>
  <c r="T75" s="1"/>
  <c r="P75"/>
  <c r="Q75" s="1"/>
  <c r="AC75"/>
  <c r="AD75" s="1"/>
  <c r="Y75"/>
  <c r="Z75" s="1"/>
  <c r="M75"/>
  <c r="V75"/>
  <c r="J75"/>
  <c r="AA67"/>
  <c r="AB67" s="1"/>
  <c r="S67"/>
  <c r="T67" s="1"/>
  <c r="P67"/>
  <c r="Q67" s="1"/>
  <c r="AC67"/>
  <c r="AD67" s="1"/>
  <c r="Y67"/>
  <c r="Z67" s="1"/>
  <c r="M67"/>
  <c r="V67"/>
  <c r="J67"/>
  <c r="AA59"/>
  <c r="AB59" s="1"/>
  <c r="S59"/>
  <c r="T59" s="1"/>
  <c r="P59"/>
  <c r="Q59" s="1"/>
  <c r="AC59"/>
  <c r="AD59" s="1"/>
  <c r="Y59"/>
  <c r="Z59" s="1"/>
  <c r="M59"/>
  <c r="V59"/>
  <c r="J59"/>
  <c r="AA51"/>
  <c r="AB51" s="1"/>
  <c r="S51"/>
  <c r="T51" s="1"/>
  <c r="P51"/>
  <c r="Q51" s="1"/>
  <c r="AC51"/>
  <c r="AD51" s="1"/>
  <c r="Y51"/>
  <c r="Z51" s="1"/>
  <c r="M51"/>
  <c r="V51"/>
  <c r="J51"/>
  <c r="I11"/>
  <c r="I10"/>
  <c r="I12" s="1"/>
  <c r="D120" i="2"/>
  <c r="C118"/>
  <c r="M33" i="4"/>
  <c r="C185" i="18"/>
  <c r="C66" i="11"/>
  <c r="C68" i="6"/>
  <c r="B60"/>
  <c r="A60" s="1"/>
  <c r="C69" i="17"/>
  <c r="B60"/>
  <c r="A60" s="1"/>
  <c r="C169" i="12"/>
  <c r="C168"/>
  <c r="C59" i="13" s="1"/>
  <c r="I140" i="12"/>
  <c r="I144"/>
  <c r="H98"/>
  <c r="H18" i="13" s="1"/>
  <c r="D98" i="12"/>
  <c r="D18" i="13" s="1"/>
  <c r="I98" i="12"/>
  <c r="I18" i="13" s="1"/>
  <c r="E98" i="12"/>
  <c r="E18" i="13" s="1"/>
  <c r="F98" i="12"/>
  <c r="F18" i="13" s="1"/>
  <c r="G98" i="12"/>
  <c r="G18" i="13" s="1"/>
  <c r="C98" i="12"/>
  <c r="C18" i="13" s="1"/>
  <c r="G34" i="3"/>
  <c r="G192"/>
  <c r="G100"/>
  <c r="G92"/>
  <c r="G24"/>
  <c r="L47" i="4"/>
  <c r="A47" i="5"/>
  <c r="K47" i="4" s="1"/>
  <c r="D185" i="18"/>
  <c r="D66" i="11"/>
  <c r="D60" i="13"/>
  <c r="D198" i="12"/>
  <c r="H169"/>
  <c r="H168"/>
  <c r="H59" i="13" s="1"/>
  <c r="P27" i="4"/>
  <c r="F28" i="5"/>
  <c r="P28" i="4" s="1"/>
  <c r="F58" i="13"/>
  <c r="F156" i="12"/>
  <c r="F157" s="1"/>
  <c r="F158" s="1"/>
  <c r="F145"/>
  <c r="D38" i="18"/>
  <c r="D39" s="1"/>
  <c r="F78"/>
  <c r="F76"/>
  <c r="F77"/>
  <c r="F75"/>
  <c r="F74"/>
  <c r="F72"/>
  <c r="F70"/>
  <c r="F68"/>
  <c r="F66"/>
  <c r="F64"/>
  <c r="F62"/>
  <c r="F60"/>
  <c r="F58"/>
  <c r="F56"/>
  <c r="F54"/>
  <c r="F52"/>
  <c r="F50"/>
  <c r="F48"/>
  <c r="F73"/>
  <c r="F71"/>
  <c r="F69"/>
  <c r="F67"/>
  <c r="F65"/>
  <c r="F63"/>
  <c r="F61"/>
  <c r="F59"/>
  <c r="F57"/>
  <c r="F55"/>
  <c r="F53"/>
  <c r="F51"/>
  <c r="F49"/>
  <c r="F20"/>
  <c r="F19"/>
  <c r="F15"/>
  <c r="F16" s="1"/>
  <c r="F9"/>
  <c r="H148" i="3"/>
  <c r="B68" i="4"/>
  <c r="A68" s="1"/>
  <c r="B68" i="17"/>
  <c r="A68" s="1"/>
  <c r="B64" i="9"/>
  <c r="A64" s="1"/>
  <c r="B69" i="11"/>
  <c r="A69" s="1"/>
  <c r="B56" i="6"/>
  <c r="A56" s="1"/>
  <c r="B56" i="17"/>
  <c r="A56" s="1"/>
  <c r="B66" i="4"/>
  <c r="A66" s="1"/>
  <c r="B66" i="16"/>
  <c r="A66" s="1"/>
  <c r="B61"/>
  <c r="A61" s="1"/>
  <c r="C13" i="6"/>
  <c r="C13" i="16"/>
  <c r="E126" i="12"/>
  <c r="E127" s="1"/>
  <c r="B49" i="9"/>
  <c r="B49" i="11"/>
  <c r="J78" i="3"/>
  <c r="D70" i="16"/>
  <c r="G148" i="3"/>
  <c r="I140"/>
  <c r="D93" i="12" l="1"/>
  <c r="D93" i="18"/>
  <c r="F93"/>
  <c r="F16" i="11" s="1"/>
  <c r="F16" i="9"/>
  <c r="F16" i="16"/>
  <c r="F93" i="12"/>
  <c r="F16" i="13" s="1"/>
  <c r="F16" i="4"/>
  <c r="F16" i="17"/>
  <c r="F16" i="6"/>
  <c r="H93" i="18"/>
  <c r="H16" i="11" s="1"/>
  <c r="H16" i="9"/>
  <c r="H93" i="12"/>
  <c r="H16" i="13" s="1"/>
  <c r="H16" i="16"/>
  <c r="H16" i="4"/>
  <c r="H16" i="17"/>
  <c r="H16" i="6"/>
  <c r="C93" i="3"/>
  <c r="C32" i="2"/>
  <c r="G16" i="17"/>
  <c r="G16" i="4"/>
  <c r="G93" i="18"/>
  <c r="G16" i="11" s="1"/>
  <c r="G16" i="9"/>
  <c r="G93" i="12"/>
  <c r="G16" i="13" s="1"/>
  <c r="G16" i="16"/>
  <c r="G16" i="6"/>
  <c r="D12" i="3"/>
  <c r="D13" s="1"/>
  <c r="D23"/>
  <c r="D143" i="18"/>
  <c r="D19" i="12"/>
  <c r="D21" s="1"/>
  <c r="C23" s="1"/>
  <c r="B119" i="13"/>
  <c r="A119" s="1"/>
  <c r="D203" i="3"/>
  <c r="D214" s="1"/>
  <c r="D103" i="9"/>
  <c r="D102" i="6"/>
  <c r="C70" i="9"/>
  <c r="C118" s="1"/>
  <c r="D103" i="4"/>
  <c r="D97" i="17"/>
  <c r="D208" i="3"/>
  <c r="D210" s="1"/>
  <c r="D54" i="4"/>
  <c r="B193" s="1"/>
  <c r="D193" s="1"/>
  <c r="D54" i="17"/>
  <c r="B193" s="1"/>
  <c r="D193" s="1"/>
  <c r="C143" i="18"/>
  <c r="E18"/>
  <c r="E92" s="1"/>
  <c r="I18"/>
  <c r="I24" s="1"/>
  <c r="D18"/>
  <c r="F95" i="3"/>
  <c r="D18" i="12"/>
  <c r="C69" i="6"/>
  <c r="C117" s="1"/>
  <c r="C18" i="18"/>
  <c r="D22" i="3"/>
  <c r="D9" i="17" s="1"/>
  <c r="D206" i="18"/>
  <c r="H18"/>
  <c r="H24" s="1"/>
  <c r="G18"/>
  <c r="G24" s="1"/>
  <c r="C12" i="3"/>
  <c r="C13" s="1"/>
  <c r="E59" i="16"/>
  <c r="D54" i="6"/>
  <c r="B222" s="1"/>
  <c r="D222" s="1"/>
  <c r="D97" i="9"/>
  <c r="D54" i="16"/>
  <c r="B193" s="1"/>
  <c r="D193" s="1"/>
  <c r="B141" i="11"/>
  <c r="A141" s="1"/>
  <c r="E140" i="3"/>
  <c r="E54" i="17" s="1"/>
  <c r="H97" i="16"/>
  <c r="D54" i="9"/>
  <c r="B193" s="1"/>
  <c r="D193" s="1"/>
  <c r="D97" i="16"/>
  <c r="D97" i="4"/>
  <c r="D96" i="6"/>
  <c r="D103" i="16"/>
  <c r="C70" i="4"/>
  <c r="C118" s="1"/>
  <c r="B55" i="9"/>
  <c r="A55" s="1"/>
  <c r="E206" i="18"/>
  <c r="E208" s="1"/>
  <c r="E209" s="1"/>
  <c r="B55" i="17"/>
  <c r="A55" s="1"/>
  <c r="H97"/>
  <c r="H103" i="9"/>
  <c r="B55" i="16"/>
  <c r="A55" s="1"/>
  <c r="B55" i="4"/>
  <c r="A55" s="1"/>
  <c r="E59" i="9"/>
  <c r="B59" s="1"/>
  <c r="A59" s="1"/>
  <c r="H54" i="6"/>
  <c r="B242" s="1"/>
  <c r="D242" s="1"/>
  <c r="H54" i="9"/>
  <c r="B213" s="1"/>
  <c r="D213" s="1"/>
  <c r="H97"/>
  <c r="H54" i="17"/>
  <c r="B213" s="1"/>
  <c r="D213" s="1"/>
  <c r="E59" i="6"/>
  <c r="B59" s="1"/>
  <c r="A59" s="1"/>
  <c r="H103" i="4"/>
  <c r="H102" i="6"/>
  <c r="H54" i="16"/>
  <c r="B213" s="1"/>
  <c r="D213" s="1"/>
  <c r="E59" i="4"/>
  <c r="B59" s="1"/>
  <c r="A59" s="1"/>
  <c r="E59" i="17"/>
  <c r="B59" s="1"/>
  <c r="A59" s="1"/>
  <c r="H97" i="4"/>
  <c r="H96" i="6"/>
  <c r="H103" i="16"/>
  <c r="H13" i="3"/>
  <c r="H14" s="1"/>
  <c r="D147" i="18"/>
  <c r="I18" i="12"/>
  <c r="I92" s="1"/>
  <c r="E18"/>
  <c r="E100" s="1"/>
  <c r="C18"/>
  <c r="G13" i="3"/>
  <c r="G14" s="1"/>
  <c r="G21" i="18"/>
  <c r="G22" s="1"/>
  <c r="C44" i="3"/>
  <c r="C45" s="1"/>
  <c r="B119" i="9"/>
  <c r="A119" s="1"/>
  <c r="D69" i="13"/>
  <c r="F13" i="3"/>
  <c r="F14" s="1"/>
  <c r="B55" i="6"/>
  <c r="A55" s="1"/>
  <c r="C147" i="18"/>
  <c r="I147" i="12"/>
  <c r="G147" i="18"/>
  <c r="C147" i="12"/>
  <c r="E147"/>
  <c r="E115" i="16"/>
  <c r="H21" i="18"/>
  <c r="H23" s="1"/>
  <c r="E11" i="3"/>
  <c r="E13" s="1"/>
  <c r="E14" s="1"/>
  <c r="D19" i="18"/>
  <c r="D21" s="1"/>
  <c r="C23" s="1"/>
  <c r="E151" i="3"/>
  <c r="E152" s="1"/>
  <c r="E153" s="1"/>
  <c r="E160" s="1"/>
  <c r="E161" s="1"/>
  <c r="E149" s="1"/>
  <c r="E115" i="9"/>
  <c r="F147" i="18"/>
  <c r="B61" i="13"/>
  <c r="A61" s="1"/>
  <c r="H115" i="16"/>
  <c r="I13" i="3"/>
  <c r="I14" s="1"/>
  <c r="F151"/>
  <c r="F152" s="1"/>
  <c r="F153" s="1"/>
  <c r="F160" s="1"/>
  <c r="F161" s="1"/>
  <c r="F149" s="1"/>
  <c r="H114" i="6"/>
  <c r="F21" i="18"/>
  <c r="F22" s="1"/>
  <c r="F9" i="11" s="1"/>
  <c r="E115" i="4"/>
  <c r="E115" i="17"/>
  <c r="D160" i="12"/>
  <c r="C22"/>
  <c r="C22" i="18"/>
  <c r="B56" i="11"/>
  <c r="A56" s="1"/>
  <c r="D160" i="18"/>
  <c r="E17" i="12"/>
  <c r="E20" s="1"/>
  <c r="E19"/>
  <c r="D76" i="16"/>
  <c r="D118"/>
  <c r="D87"/>
  <c r="D92"/>
  <c r="E23" i="3"/>
  <c r="E22"/>
  <c r="G10" i="21"/>
  <c r="G34" i="18"/>
  <c r="G19" i="17"/>
  <c r="G15"/>
  <c r="G19" i="16"/>
  <c r="G15"/>
  <c r="G34" i="12"/>
  <c r="G10" i="8"/>
  <c r="AK10" i="4" s="1"/>
  <c r="G19" i="9"/>
  <c r="G15"/>
  <c r="G19" i="6"/>
  <c r="G15"/>
  <c r="G19" i="4"/>
  <c r="H36" i="2" s="1"/>
  <c r="G15" i="4"/>
  <c r="H38" i="2" s="1"/>
  <c r="H40" s="1"/>
  <c r="H22"/>
  <c r="D40" i="18"/>
  <c r="D41" s="1"/>
  <c r="D42" s="1"/>
  <c r="D43"/>
  <c r="H22"/>
  <c r="H9" i="11" s="1"/>
  <c r="E103" i="17"/>
  <c r="F30" i="18"/>
  <c r="F31" s="1"/>
  <c r="F32" s="1"/>
  <c r="F33" s="1"/>
  <c r="F95" s="1"/>
  <c r="F17"/>
  <c r="G190"/>
  <c r="G62" i="17"/>
  <c r="G62" i="16"/>
  <c r="G190" i="12"/>
  <c r="G62" i="9"/>
  <c r="G62" i="6"/>
  <c r="H97" i="2"/>
  <c r="U51" i="3"/>
  <c r="R51"/>
  <c r="U59"/>
  <c r="R59"/>
  <c r="U67"/>
  <c r="R67"/>
  <c r="U75"/>
  <c r="R75"/>
  <c r="H100" i="18"/>
  <c r="W76" i="3"/>
  <c r="X76" s="1"/>
  <c r="B28" i="5"/>
  <c r="M28" i="4"/>
  <c r="L26"/>
  <c r="A26" i="5"/>
  <c r="K26" i="4" s="1"/>
  <c r="U58" i="3"/>
  <c r="R58"/>
  <c r="D118" i="4"/>
  <c r="D76"/>
  <c r="D87"/>
  <c r="D92"/>
  <c r="E144" i="2" s="1"/>
  <c r="D34"/>
  <c r="C215" i="3"/>
  <c r="C191"/>
  <c r="L36" i="4"/>
  <c r="A36" i="5"/>
  <c r="K36" i="4" s="1"/>
  <c r="AA48" i="12"/>
  <c r="AB48" s="1"/>
  <c r="S48"/>
  <c r="T48" s="1"/>
  <c r="P48"/>
  <c r="Q48" s="1"/>
  <c r="AC48"/>
  <c r="AD48" s="1"/>
  <c r="Y48"/>
  <c r="Z48" s="1"/>
  <c r="M48"/>
  <c r="V48"/>
  <c r="J48"/>
  <c r="K48" s="1"/>
  <c r="AA56"/>
  <c r="AB56" s="1"/>
  <c r="S56"/>
  <c r="T56" s="1"/>
  <c r="P56"/>
  <c r="Q56" s="1"/>
  <c r="AC56"/>
  <c r="AD56" s="1"/>
  <c r="Y56"/>
  <c r="Z56" s="1"/>
  <c r="M56"/>
  <c r="V56"/>
  <c r="J56"/>
  <c r="K56" s="1"/>
  <c r="AA64"/>
  <c r="AB64" s="1"/>
  <c r="S64"/>
  <c r="T64" s="1"/>
  <c r="P64"/>
  <c r="Q64" s="1"/>
  <c r="AC64"/>
  <c r="AD64" s="1"/>
  <c r="Y64"/>
  <c r="Z64" s="1"/>
  <c r="M64"/>
  <c r="V64"/>
  <c r="J64"/>
  <c r="K64" s="1"/>
  <c r="AA72"/>
  <c r="AB72" s="1"/>
  <c r="S72"/>
  <c r="T72" s="1"/>
  <c r="P72"/>
  <c r="Q72" s="1"/>
  <c r="AC72"/>
  <c r="AD72" s="1"/>
  <c r="Y72"/>
  <c r="Z72" s="1"/>
  <c r="M72"/>
  <c r="V72"/>
  <c r="J72"/>
  <c r="K72" s="1"/>
  <c r="AC51"/>
  <c r="AD51" s="1"/>
  <c r="Y51"/>
  <c r="Z51" s="1"/>
  <c r="M51"/>
  <c r="V51"/>
  <c r="J51"/>
  <c r="K51" s="1"/>
  <c r="AA51"/>
  <c r="AB51" s="1"/>
  <c r="S51"/>
  <c r="T51" s="1"/>
  <c r="P51"/>
  <c r="Q51" s="1"/>
  <c r="AC59"/>
  <c r="AD59" s="1"/>
  <c r="Y59"/>
  <c r="Z59" s="1"/>
  <c r="M59"/>
  <c r="V59"/>
  <c r="J59"/>
  <c r="K59" s="1"/>
  <c r="AA59"/>
  <c r="AB59" s="1"/>
  <c r="S59"/>
  <c r="T59" s="1"/>
  <c r="P59"/>
  <c r="Q59" s="1"/>
  <c r="AC67"/>
  <c r="AD67" s="1"/>
  <c r="Y67"/>
  <c r="Z67" s="1"/>
  <c r="M67"/>
  <c r="V67"/>
  <c r="J67"/>
  <c r="K67" s="1"/>
  <c r="AA67"/>
  <c r="AB67" s="1"/>
  <c r="S67"/>
  <c r="T67" s="1"/>
  <c r="P67"/>
  <c r="Q67" s="1"/>
  <c r="AC75"/>
  <c r="AD75" s="1"/>
  <c r="Y75"/>
  <c r="Z75" s="1"/>
  <c r="M75"/>
  <c r="V75"/>
  <c r="J75"/>
  <c r="K75" s="1"/>
  <c r="AA75"/>
  <c r="AB75" s="1"/>
  <c r="S75"/>
  <c r="T75" s="1"/>
  <c r="P75"/>
  <c r="Q75" s="1"/>
  <c r="I17"/>
  <c r="I30"/>
  <c r="I31" s="1"/>
  <c r="I32" s="1"/>
  <c r="I33" s="1"/>
  <c r="I100"/>
  <c r="W53" i="3"/>
  <c r="X53" s="1"/>
  <c r="W61"/>
  <c r="X61" s="1"/>
  <c r="W69"/>
  <c r="X69" s="1"/>
  <c r="D10" i="12"/>
  <c r="D11" s="1"/>
  <c r="G103" i="13"/>
  <c r="G97"/>
  <c r="G54"/>
  <c r="B223" s="1"/>
  <c r="D223" s="1"/>
  <c r="W52" i="3"/>
  <c r="X52" s="1"/>
  <c r="W60"/>
  <c r="X60" s="1"/>
  <c r="W68"/>
  <c r="X68" s="1"/>
  <c r="B119" i="4"/>
  <c r="A119" s="1"/>
  <c r="D113" i="2"/>
  <c r="U66" i="3"/>
  <c r="R66"/>
  <c r="F23"/>
  <c r="F22"/>
  <c r="AA55" i="18"/>
  <c r="AB55" s="1"/>
  <c r="S55"/>
  <c r="T55" s="1"/>
  <c r="P55"/>
  <c r="Q55" s="1"/>
  <c r="AC55"/>
  <c r="AD55" s="1"/>
  <c r="Y55"/>
  <c r="Z55" s="1"/>
  <c r="M55"/>
  <c r="V55"/>
  <c r="J55"/>
  <c r="K55" s="1"/>
  <c r="AA63"/>
  <c r="AB63" s="1"/>
  <c r="S63"/>
  <c r="T63" s="1"/>
  <c r="P63"/>
  <c r="Q63" s="1"/>
  <c r="AC63"/>
  <c r="AD63" s="1"/>
  <c r="Y63"/>
  <c r="Z63" s="1"/>
  <c r="M63"/>
  <c r="V63"/>
  <c r="J63"/>
  <c r="K63" s="1"/>
  <c r="AA71"/>
  <c r="AB71" s="1"/>
  <c r="S71"/>
  <c r="T71" s="1"/>
  <c r="P71"/>
  <c r="Q71" s="1"/>
  <c r="AC71"/>
  <c r="AD71" s="1"/>
  <c r="Y71"/>
  <c r="Z71" s="1"/>
  <c r="M71"/>
  <c r="V71"/>
  <c r="J71"/>
  <c r="K71" s="1"/>
  <c r="AC48"/>
  <c r="AD48" s="1"/>
  <c r="Y48"/>
  <c r="Z48" s="1"/>
  <c r="M48"/>
  <c r="V48"/>
  <c r="J48"/>
  <c r="K48" s="1"/>
  <c r="P48"/>
  <c r="Q48" s="1"/>
  <c r="S48"/>
  <c r="T48" s="1"/>
  <c r="AA48"/>
  <c r="AB48" s="1"/>
  <c r="AC56"/>
  <c r="AD56" s="1"/>
  <c r="Y56"/>
  <c r="Z56" s="1"/>
  <c r="M56"/>
  <c r="V56"/>
  <c r="J56"/>
  <c r="K56" s="1"/>
  <c r="AA56"/>
  <c r="AB56" s="1"/>
  <c r="S56"/>
  <c r="T56" s="1"/>
  <c r="P56"/>
  <c r="Q56" s="1"/>
  <c r="AC64"/>
  <c r="AD64" s="1"/>
  <c r="Y64"/>
  <c r="Z64" s="1"/>
  <c r="M64"/>
  <c r="V64"/>
  <c r="J64"/>
  <c r="K64" s="1"/>
  <c r="AA64"/>
  <c r="AB64" s="1"/>
  <c r="S64"/>
  <c r="T64" s="1"/>
  <c r="P64"/>
  <c r="Q64" s="1"/>
  <c r="AC72"/>
  <c r="AD72" s="1"/>
  <c r="Y72"/>
  <c r="Z72" s="1"/>
  <c r="M72"/>
  <c r="V72"/>
  <c r="J72"/>
  <c r="K72" s="1"/>
  <c r="AA72"/>
  <c r="AB72" s="1"/>
  <c r="S72"/>
  <c r="T72" s="1"/>
  <c r="P72"/>
  <c r="Q72" s="1"/>
  <c r="I10"/>
  <c r="I11"/>
  <c r="E54" i="13"/>
  <c r="E103"/>
  <c r="E97"/>
  <c r="U55" i="3"/>
  <c r="R55"/>
  <c r="U63"/>
  <c r="R63"/>
  <c r="U71"/>
  <c r="R71"/>
  <c r="G119" i="11"/>
  <c r="G112"/>
  <c r="G54"/>
  <c r="B224" s="1"/>
  <c r="D224" s="1"/>
  <c r="D118" i="9"/>
  <c r="D76"/>
  <c r="D87"/>
  <c r="D92"/>
  <c r="A48" i="4"/>
  <c r="A49"/>
  <c r="L35"/>
  <c r="A35" i="5"/>
  <c r="K35" i="4" s="1"/>
  <c r="G2" i="18"/>
  <c r="M76" s="1"/>
  <c r="G3" i="11"/>
  <c r="G51" i="13"/>
  <c r="C51"/>
  <c r="H51"/>
  <c r="D51"/>
  <c r="E51"/>
  <c r="F51"/>
  <c r="H21" i="17"/>
  <c r="H22" s="1"/>
  <c r="H30"/>
  <c r="H31" s="1"/>
  <c r="H43"/>
  <c r="H44" s="1"/>
  <c r="H34"/>
  <c r="H35" s="1"/>
  <c r="H26"/>
  <c r="H27" s="1"/>
  <c r="H11"/>
  <c r="H10"/>
  <c r="H21" i="16"/>
  <c r="H22" s="1"/>
  <c r="H30"/>
  <c r="H31" s="1"/>
  <c r="H43"/>
  <c r="H44" s="1"/>
  <c r="H34"/>
  <c r="H35" s="1"/>
  <c r="H26"/>
  <c r="H27" s="1"/>
  <c r="H11"/>
  <c r="H10"/>
  <c r="H30" i="9"/>
  <c r="H31" s="1"/>
  <c r="H9" i="10"/>
  <c r="H43" i="9"/>
  <c r="H44" s="1"/>
  <c r="H34"/>
  <c r="H35" s="1"/>
  <c r="H26"/>
  <c r="H27" s="1"/>
  <c r="H11"/>
  <c r="H10"/>
  <c r="H21"/>
  <c r="H22" s="1"/>
  <c r="H30" i="6"/>
  <c r="H31" s="1"/>
  <c r="H30" i="4"/>
  <c r="H31" s="1"/>
  <c r="H43"/>
  <c r="H44" s="1"/>
  <c r="H34"/>
  <c r="H35" s="1"/>
  <c r="H26"/>
  <c r="H27" s="1"/>
  <c r="H21"/>
  <c r="H22" s="1"/>
  <c r="H43" i="6"/>
  <c r="H44" s="1"/>
  <c r="H34"/>
  <c r="H35" s="1"/>
  <c r="H26"/>
  <c r="H27" s="1"/>
  <c r="H11"/>
  <c r="H10"/>
  <c r="H10" i="4"/>
  <c r="H21" i="6"/>
  <c r="H22" s="1"/>
  <c r="H11" i="4"/>
  <c r="H108" i="3"/>
  <c r="H96"/>
  <c r="H110"/>
  <c r="H113"/>
  <c r="H161"/>
  <c r="H149" s="1"/>
  <c r="B214" i="4"/>
  <c r="D214" s="1"/>
  <c r="D215" s="1"/>
  <c r="L29"/>
  <c r="A29" i="5"/>
  <c r="K29" i="4" s="1"/>
  <c r="W50" i="3"/>
  <c r="X50" s="1"/>
  <c r="G151"/>
  <c r="G152" s="1"/>
  <c r="G153" s="1"/>
  <c r="G160" s="1"/>
  <c r="G115" i="4"/>
  <c r="G115" i="9"/>
  <c r="G115" i="16"/>
  <c r="B66" i="11"/>
  <c r="A66" s="1"/>
  <c r="D147" i="12"/>
  <c r="B18" i="16"/>
  <c r="A18" s="1"/>
  <c r="B64" i="11"/>
  <c r="A64" s="1"/>
  <c r="F115" i="16"/>
  <c r="I151" i="3"/>
  <c r="I152" s="1"/>
  <c r="I153" s="1"/>
  <c r="I160" s="1"/>
  <c r="I114" i="6"/>
  <c r="B119" i="17"/>
  <c r="A119" s="1"/>
  <c r="I21" i="18"/>
  <c r="H147" i="12"/>
  <c r="F21"/>
  <c r="E147" i="18"/>
  <c r="H21" i="12"/>
  <c r="H147" i="18"/>
  <c r="F11"/>
  <c r="F10"/>
  <c r="H17"/>
  <c r="H30"/>
  <c r="H31" s="1"/>
  <c r="H32" s="1"/>
  <c r="H33" s="1"/>
  <c r="H95" s="1"/>
  <c r="G30"/>
  <c r="G31" s="1"/>
  <c r="G32" s="1"/>
  <c r="G33" s="1"/>
  <c r="G113" s="1"/>
  <c r="G17"/>
  <c r="B58" i="13"/>
  <c r="A58" s="1"/>
  <c r="D87" i="17"/>
  <c r="D118"/>
  <c r="D76"/>
  <c r="D92"/>
  <c r="D40" i="12"/>
  <c r="D41" s="1"/>
  <c r="D42" s="1"/>
  <c r="D43"/>
  <c r="AA54"/>
  <c r="AB54" s="1"/>
  <c r="S54"/>
  <c r="T54" s="1"/>
  <c r="P54"/>
  <c r="Q54" s="1"/>
  <c r="AC54"/>
  <c r="AD54" s="1"/>
  <c r="Y54"/>
  <c r="Z54" s="1"/>
  <c r="M54"/>
  <c r="V54"/>
  <c r="J54"/>
  <c r="K54" s="1"/>
  <c r="AA62"/>
  <c r="AB62" s="1"/>
  <c r="S62"/>
  <c r="T62" s="1"/>
  <c r="P62"/>
  <c r="Q62" s="1"/>
  <c r="AC62"/>
  <c r="AD62" s="1"/>
  <c r="Y62"/>
  <c r="Z62" s="1"/>
  <c r="M62"/>
  <c r="V62"/>
  <c r="J62"/>
  <c r="K62" s="1"/>
  <c r="AA70"/>
  <c r="AB70" s="1"/>
  <c r="S70"/>
  <c r="T70" s="1"/>
  <c r="P70"/>
  <c r="Q70" s="1"/>
  <c r="AC70"/>
  <c r="AD70" s="1"/>
  <c r="Y70"/>
  <c r="Z70" s="1"/>
  <c r="M70"/>
  <c r="V70"/>
  <c r="J70"/>
  <c r="K70" s="1"/>
  <c r="AC49"/>
  <c r="AD49" s="1"/>
  <c r="Y49"/>
  <c r="Z49" s="1"/>
  <c r="M49"/>
  <c r="V49"/>
  <c r="J49"/>
  <c r="K49" s="1"/>
  <c r="AA49"/>
  <c r="AB49" s="1"/>
  <c r="S49"/>
  <c r="T49" s="1"/>
  <c r="P49"/>
  <c r="Q49" s="1"/>
  <c r="AC57"/>
  <c r="AD57" s="1"/>
  <c r="Y57"/>
  <c r="Z57" s="1"/>
  <c r="M57"/>
  <c r="V57"/>
  <c r="J57"/>
  <c r="K57" s="1"/>
  <c r="AA57"/>
  <c r="AB57" s="1"/>
  <c r="S57"/>
  <c r="T57" s="1"/>
  <c r="P57"/>
  <c r="Q57" s="1"/>
  <c r="AC65"/>
  <c r="AD65" s="1"/>
  <c r="Y65"/>
  <c r="Z65" s="1"/>
  <c r="M65"/>
  <c r="V65"/>
  <c r="J65"/>
  <c r="K65" s="1"/>
  <c r="AA65"/>
  <c r="AB65" s="1"/>
  <c r="S65"/>
  <c r="T65" s="1"/>
  <c r="P65"/>
  <c r="Q65" s="1"/>
  <c r="AC73"/>
  <c r="AD73" s="1"/>
  <c r="Y73"/>
  <c r="Z73" s="1"/>
  <c r="M73"/>
  <c r="V73"/>
  <c r="J73"/>
  <c r="K73" s="1"/>
  <c r="AA73"/>
  <c r="AB73" s="1"/>
  <c r="S73"/>
  <c r="T73" s="1"/>
  <c r="P73"/>
  <c r="Q73" s="1"/>
  <c r="I11"/>
  <c r="I10"/>
  <c r="F190" i="18"/>
  <c r="F62" i="17"/>
  <c r="F62" i="16"/>
  <c r="F190" i="12"/>
  <c r="F62" i="9"/>
  <c r="F62" i="6"/>
  <c r="G97" i="2"/>
  <c r="D23" i="12"/>
  <c r="D22"/>
  <c r="A34" i="5"/>
  <c r="K34" i="4" s="1"/>
  <c r="L34"/>
  <c r="C17" i="12"/>
  <c r="C20" s="1"/>
  <c r="H111" i="3"/>
  <c r="A48" i="6"/>
  <c r="A49"/>
  <c r="G22" i="3"/>
  <c r="G9" i="9" s="1"/>
  <c r="G23" i="3"/>
  <c r="E10" i="18"/>
  <c r="E11" s="1"/>
  <c r="AA49"/>
  <c r="AB49" s="1"/>
  <c r="S49"/>
  <c r="T49" s="1"/>
  <c r="P49"/>
  <c r="Q49" s="1"/>
  <c r="V49"/>
  <c r="J49"/>
  <c r="K49" s="1"/>
  <c r="Y49"/>
  <c r="Z49" s="1"/>
  <c r="AC49"/>
  <c r="AD49" s="1"/>
  <c r="M49"/>
  <c r="AA53"/>
  <c r="AB53" s="1"/>
  <c r="S53"/>
  <c r="T53" s="1"/>
  <c r="P53"/>
  <c r="Q53" s="1"/>
  <c r="AC53"/>
  <c r="AD53" s="1"/>
  <c r="Y53"/>
  <c r="Z53" s="1"/>
  <c r="M53"/>
  <c r="V53"/>
  <c r="J53"/>
  <c r="K53" s="1"/>
  <c r="AA61"/>
  <c r="AB61" s="1"/>
  <c r="S61"/>
  <c r="T61" s="1"/>
  <c r="P61"/>
  <c r="Q61" s="1"/>
  <c r="AC61"/>
  <c r="AD61" s="1"/>
  <c r="Y61"/>
  <c r="Z61" s="1"/>
  <c r="M61"/>
  <c r="V61"/>
  <c r="J61"/>
  <c r="K61" s="1"/>
  <c r="AA69"/>
  <c r="AB69" s="1"/>
  <c r="S69"/>
  <c r="T69" s="1"/>
  <c r="P69"/>
  <c r="Q69" s="1"/>
  <c r="AC69"/>
  <c r="AD69" s="1"/>
  <c r="Y69"/>
  <c r="Z69" s="1"/>
  <c r="M69"/>
  <c r="V69"/>
  <c r="J69"/>
  <c r="K69" s="1"/>
  <c r="AC54"/>
  <c r="AD54" s="1"/>
  <c r="Y54"/>
  <c r="Z54" s="1"/>
  <c r="M54"/>
  <c r="V54"/>
  <c r="J54"/>
  <c r="K54" s="1"/>
  <c r="AA54"/>
  <c r="AB54" s="1"/>
  <c r="S54"/>
  <c r="T54" s="1"/>
  <c r="P54"/>
  <c r="Q54" s="1"/>
  <c r="AC62"/>
  <c r="AD62" s="1"/>
  <c r="Y62"/>
  <c r="Z62" s="1"/>
  <c r="M62"/>
  <c r="V62"/>
  <c r="J62"/>
  <c r="K62" s="1"/>
  <c r="AA62"/>
  <c r="AB62" s="1"/>
  <c r="S62"/>
  <c r="T62" s="1"/>
  <c r="P62"/>
  <c r="Q62" s="1"/>
  <c r="AC70"/>
  <c r="AD70" s="1"/>
  <c r="Y70"/>
  <c r="Z70" s="1"/>
  <c r="M70"/>
  <c r="V70"/>
  <c r="J70"/>
  <c r="K70" s="1"/>
  <c r="AA70"/>
  <c r="AB70" s="1"/>
  <c r="S70"/>
  <c r="T70" s="1"/>
  <c r="P70"/>
  <c r="Q70" s="1"/>
  <c r="I100"/>
  <c r="I92"/>
  <c r="I43" i="17"/>
  <c r="I44" s="1"/>
  <c r="I34"/>
  <c r="I35" s="1"/>
  <c r="I26"/>
  <c r="I27" s="1"/>
  <c r="I11"/>
  <c r="I10"/>
  <c r="I21"/>
  <c r="I22" s="1"/>
  <c r="I30"/>
  <c r="I31" s="1"/>
  <c r="I43" i="16"/>
  <c r="I44" s="1"/>
  <c r="I34"/>
  <c r="I35" s="1"/>
  <c r="I26"/>
  <c r="I27" s="1"/>
  <c r="I11"/>
  <c r="I10"/>
  <c r="I21"/>
  <c r="I22" s="1"/>
  <c r="I30"/>
  <c r="I31" s="1"/>
  <c r="I9" i="10"/>
  <c r="I21" i="9"/>
  <c r="I22" s="1"/>
  <c r="I30"/>
  <c r="I31" s="1"/>
  <c r="I43"/>
  <c r="I44" s="1"/>
  <c r="I34"/>
  <c r="I35" s="1"/>
  <c r="I26"/>
  <c r="I27" s="1"/>
  <c r="I11"/>
  <c r="I10"/>
  <c r="I21" i="6"/>
  <c r="I22" s="1"/>
  <c r="I11" i="4"/>
  <c r="I30" i="6"/>
  <c r="I31" s="1"/>
  <c r="I30" i="4"/>
  <c r="I31" s="1"/>
  <c r="I43"/>
  <c r="I44" s="1"/>
  <c r="I34"/>
  <c r="I35" s="1"/>
  <c r="I26"/>
  <c r="I27" s="1"/>
  <c r="I21"/>
  <c r="I22" s="1"/>
  <c r="I43" i="6"/>
  <c r="I44" s="1"/>
  <c r="I34"/>
  <c r="I35" s="1"/>
  <c r="I26"/>
  <c r="I27" s="1"/>
  <c r="I11"/>
  <c r="I10"/>
  <c r="I10" i="4"/>
  <c r="I110" i="3"/>
  <c r="I108"/>
  <c r="I114" s="1"/>
  <c r="I96"/>
  <c r="T680"/>
  <c r="B1039" s="1"/>
  <c r="T676"/>
  <c r="B1035" s="1"/>
  <c r="T672"/>
  <c r="B1031" s="1"/>
  <c r="T668"/>
  <c r="B1027" s="1"/>
  <c r="T664"/>
  <c r="B1023" s="1"/>
  <c r="T660"/>
  <c r="B1019" s="1"/>
  <c r="T656"/>
  <c r="B1015" s="1"/>
  <c r="T652"/>
  <c r="B1011" s="1"/>
  <c r="T648"/>
  <c r="B1007" s="1"/>
  <c r="T644"/>
  <c r="B1003" s="1"/>
  <c r="T640"/>
  <c r="B999" s="1"/>
  <c r="T636"/>
  <c r="B995" s="1"/>
  <c r="T632"/>
  <c r="B991" s="1"/>
  <c r="T628"/>
  <c r="B987" s="1"/>
  <c r="T624"/>
  <c r="B983" s="1"/>
  <c r="D622"/>
  <c r="D620"/>
  <c r="D618"/>
  <c r="D616"/>
  <c r="T614"/>
  <c r="D613"/>
  <c r="B612"/>
  <c r="T610"/>
  <c r="D609"/>
  <c r="B608"/>
  <c r="T606"/>
  <c r="D605"/>
  <c r="B604"/>
  <c r="T602"/>
  <c r="D601"/>
  <c r="B600"/>
  <c r="T598"/>
  <c r="D597"/>
  <c r="B596"/>
  <c r="T594"/>
  <c r="D593"/>
  <c r="B592"/>
  <c r="T590"/>
  <c r="D589"/>
  <c r="B588"/>
  <c r="T586"/>
  <c r="D585"/>
  <c r="B584"/>
  <c r="T582"/>
  <c r="D581"/>
  <c r="B580"/>
  <c r="T578"/>
  <c r="D577"/>
  <c r="B576"/>
  <c r="T574"/>
  <c r="D573"/>
  <c r="B572"/>
  <c r="T570"/>
  <c r="D569"/>
  <c r="B568"/>
  <c r="T566"/>
  <c r="R565"/>
  <c r="R564"/>
  <c r="R563"/>
  <c r="R562"/>
  <c r="R561"/>
  <c r="R560"/>
  <c r="R559"/>
  <c r="R558"/>
  <c r="R557"/>
  <c r="R556"/>
  <c r="R555"/>
  <c r="R554"/>
  <c r="R553"/>
  <c r="R552"/>
  <c r="R551"/>
  <c r="R550"/>
  <c r="R549"/>
  <c r="R548"/>
  <c r="R547"/>
  <c r="R546"/>
  <c r="R545"/>
  <c r="R544"/>
  <c r="R543"/>
  <c r="R542"/>
  <c r="R541"/>
  <c r="R540"/>
  <c r="R539"/>
  <c r="R538"/>
  <c r="R537"/>
  <c r="R536"/>
  <c r="R535"/>
  <c r="R534"/>
  <c r="R533"/>
  <c r="R532"/>
  <c r="R531"/>
  <c r="R530"/>
  <c r="R529"/>
  <c r="R528"/>
  <c r="R527"/>
  <c r="R526"/>
  <c r="R525"/>
  <c r="R524"/>
  <c r="R523"/>
  <c r="R522"/>
  <c r="R521"/>
  <c r="R520"/>
  <c r="R519"/>
  <c r="R518"/>
  <c r="R517"/>
  <c r="R516"/>
  <c r="R515"/>
  <c r="T514"/>
  <c r="B514"/>
  <c r="D513"/>
  <c r="N512"/>
  <c r="R511"/>
  <c r="T510"/>
  <c r="B510"/>
  <c r="D509"/>
  <c r="N508"/>
  <c r="R507"/>
  <c r="T506"/>
  <c r="B506"/>
  <c r="D505"/>
  <c r="N504"/>
  <c r="R503"/>
  <c r="T502"/>
  <c r="B502"/>
  <c r="D501"/>
  <c r="N500"/>
  <c r="R499"/>
  <c r="T498"/>
  <c r="B498"/>
  <c r="D497"/>
  <c r="N496"/>
  <c r="R495"/>
  <c r="T494"/>
  <c r="B494"/>
  <c r="D493"/>
  <c r="N492"/>
  <c r="R491"/>
  <c r="T490"/>
  <c r="B490"/>
  <c r="D489"/>
  <c r="N488"/>
  <c r="R487"/>
  <c r="T486"/>
  <c r="B486"/>
  <c r="D485"/>
  <c r="N484"/>
  <c r="R483"/>
  <c r="T482"/>
  <c r="B482"/>
  <c r="D481"/>
  <c r="N480"/>
  <c r="R479"/>
  <c r="T478"/>
  <c r="B478"/>
  <c r="D477"/>
  <c r="N476"/>
  <c r="R475"/>
  <c r="T474"/>
  <c r="B474"/>
  <c r="D473"/>
  <c r="N472"/>
  <c r="R471"/>
  <c r="T470"/>
  <c r="B470"/>
  <c r="D469"/>
  <c r="N468"/>
  <c r="R467"/>
  <c r="T466"/>
  <c r="B466"/>
  <c r="D465"/>
  <c r="N464"/>
  <c r="R463"/>
  <c r="T462"/>
  <c r="B462"/>
  <c r="D461"/>
  <c r="N460"/>
  <c r="R459"/>
  <c r="T458"/>
  <c r="B458"/>
  <c r="D457"/>
  <c r="N456"/>
  <c r="R455"/>
  <c r="T454"/>
  <c r="B454"/>
  <c r="D453"/>
  <c r="N452"/>
  <c r="R451"/>
  <c r="T450"/>
  <c r="B450"/>
  <c r="D449"/>
  <c r="N448"/>
  <c r="R447"/>
  <c r="T446"/>
  <c r="B446"/>
  <c r="D445"/>
  <c r="N444"/>
  <c r="R443"/>
  <c r="T442"/>
  <c r="B442"/>
  <c r="D441"/>
  <c r="N440"/>
  <c r="R439"/>
  <c r="T438"/>
  <c r="B438"/>
  <c r="D437"/>
  <c r="N436"/>
  <c r="R435"/>
  <c r="T434"/>
  <c r="B434"/>
  <c r="D433"/>
  <c r="N432"/>
  <c r="R431"/>
  <c r="T430"/>
  <c r="B430"/>
  <c r="D429"/>
  <c r="N428"/>
  <c r="R427"/>
  <c r="T426"/>
  <c r="B426"/>
  <c r="D425"/>
  <c r="N424"/>
  <c r="R423"/>
  <c r="T422"/>
  <c r="B422"/>
  <c r="D421"/>
  <c r="N420"/>
  <c r="R419"/>
  <c r="T418"/>
  <c r="B418"/>
  <c r="D417"/>
  <c r="N416"/>
  <c r="R415"/>
  <c r="T414"/>
  <c r="B414"/>
  <c r="D413"/>
  <c r="N412"/>
  <c r="R411"/>
  <c r="T410"/>
  <c r="B410"/>
  <c r="D409"/>
  <c r="N408"/>
  <c r="R407"/>
  <c r="T681"/>
  <c r="B1040" s="1"/>
  <c r="T677"/>
  <c r="B1036" s="1"/>
  <c r="T673"/>
  <c r="B1032" s="1"/>
  <c r="T669"/>
  <c r="B1028" s="1"/>
  <c r="T665"/>
  <c r="B1024" s="1"/>
  <c r="T661"/>
  <c r="B1020" s="1"/>
  <c r="T657"/>
  <c r="B1016" s="1"/>
  <c r="T653"/>
  <c r="B1012" s="1"/>
  <c r="T649"/>
  <c r="B1008" s="1"/>
  <c r="T645"/>
  <c r="B1004" s="1"/>
  <c r="T641"/>
  <c r="B1000" s="1"/>
  <c r="T637"/>
  <c r="B996" s="1"/>
  <c r="T633"/>
  <c r="B992" s="1"/>
  <c r="T629"/>
  <c r="B988" s="1"/>
  <c r="T625"/>
  <c r="B984" s="1"/>
  <c r="T622"/>
  <c r="T620"/>
  <c r="T618"/>
  <c r="T616"/>
  <c r="B615"/>
  <c r="T613"/>
  <c r="D612"/>
  <c r="B611"/>
  <c r="T609"/>
  <c r="D608"/>
  <c r="B607"/>
  <c r="T605"/>
  <c r="D604"/>
  <c r="B603"/>
  <c r="T601"/>
  <c r="D600"/>
  <c r="B599"/>
  <c r="T597"/>
  <c r="D596"/>
  <c r="B595"/>
  <c r="T593"/>
  <c r="D592"/>
  <c r="B591"/>
  <c r="T589"/>
  <c r="D588"/>
  <c r="B587"/>
  <c r="T585"/>
  <c r="D584"/>
  <c r="B583"/>
  <c r="T581"/>
  <c r="D580"/>
  <c r="B579"/>
  <c r="T577"/>
  <c r="D576"/>
  <c r="B575"/>
  <c r="T573"/>
  <c r="D572"/>
  <c r="B571"/>
  <c r="T569"/>
  <c r="D568"/>
  <c r="B567"/>
  <c r="T565"/>
  <c r="T564"/>
  <c r="T563"/>
  <c r="T562"/>
  <c r="T561"/>
  <c r="T560"/>
  <c r="T559"/>
  <c r="T558"/>
  <c r="T557"/>
  <c r="T556"/>
  <c r="T555"/>
  <c r="T554"/>
  <c r="T553"/>
  <c r="T552"/>
  <c r="T551"/>
  <c r="T550"/>
  <c r="T549"/>
  <c r="T548"/>
  <c r="T547"/>
  <c r="T546"/>
  <c r="T545"/>
  <c r="T544"/>
  <c r="T543"/>
  <c r="T542"/>
  <c r="T541"/>
  <c r="T540"/>
  <c r="T539"/>
  <c r="T538"/>
  <c r="T537"/>
  <c r="T536"/>
  <c r="T535"/>
  <c r="T534"/>
  <c r="T533"/>
  <c r="T532"/>
  <c r="T531"/>
  <c r="T530"/>
  <c r="T529"/>
  <c r="T528"/>
  <c r="T527"/>
  <c r="T526"/>
  <c r="T525"/>
  <c r="T524"/>
  <c r="T523"/>
  <c r="T522"/>
  <c r="T521"/>
  <c r="T520"/>
  <c r="T519"/>
  <c r="T518"/>
  <c r="T517"/>
  <c r="T516"/>
  <c r="T515"/>
  <c r="B515"/>
  <c r="D514"/>
  <c r="N513"/>
  <c r="R512"/>
  <c r="T511"/>
  <c r="B511"/>
  <c r="D510"/>
  <c r="N509"/>
  <c r="R508"/>
  <c r="T507"/>
  <c r="B507"/>
  <c r="D506"/>
  <c r="N505"/>
  <c r="R504"/>
  <c r="T503"/>
  <c r="B503"/>
  <c r="D502"/>
  <c r="N501"/>
  <c r="R500"/>
  <c r="T499"/>
  <c r="B499"/>
  <c r="D498"/>
  <c r="N497"/>
  <c r="R496"/>
  <c r="T495"/>
  <c r="B495"/>
  <c r="D494"/>
  <c r="N493"/>
  <c r="R492"/>
  <c r="T491"/>
  <c r="B491"/>
  <c r="D490"/>
  <c r="N489"/>
  <c r="R488"/>
  <c r="T487"/>
  <c r="B487"/>
  <c r="D486"/>
  <c r="N485"/>
  <c r="R484"/>
  <c r="T483"/>
  <c r="B483"/>
  <c r="D482"/>
  <c r="N481"/>
  <c r="R480"/>
  <c r="T479"/>
  <c r="B479"/>
  <c r="D478"/>
  <c r="N477"/>
  <c r="R476"/>
  <c r="T475"/>
  <c r="B475"/>
  <c r="D474"/>
  <c r="N473"/>
  <c r="R472"/>
  <c r="T471"/>
  <c r="B471"/>
  <c r="D470"/>
  <c r="N469"/>
  <c r="R468"/>
  <c r="T467"/>
  <c r="B467"/>
  <c r="D466"/>
  <c r="N465"/>
  <c r="R464"/>
  <c r="T463"/>
  <c r="B463"/>
  <c r="D462"/>
  <c r="N461"/>
  <c r="R460"/>
  <c r="T459"/>
  <c r="B459"/>
  <c r="D458"/>
  <c r="N457"/>
  <c r="R456"/>
  <c r="T455"/>
  <c r="B455"/>
  <c r="D454"/>
  <c r="N453"/>
  <c r="R452"/>
  <c r="T451"/>
  <c r="B451"/>
  <c r="D450"/>
  <c r="N449"/>
  <c r="R448"/>
  <c r="T447"/>
  <c r="B447"/>
  <c r="D446"/>
  <c r="N445"/>
  <c r="R444"/>
  <c r="T443"/>
  <c r="B443"/>
  <c r="D442"/>
  <c r="N441"/>
  <c r="R440"/>
  <c r="T439"/>
  <c r="B439"/>
  <c r="D438"/>
  <c r="N437"/>
  <c r="R436"/>
  <c r="T435"/>
  <c r="B435"/>
  <c r="D434"/>
  <c r="N433"/>
  <c r="R432"/>
  <c r="T431"/>
  <c r="B431"/>
  <c r="D430"/>
  <c r="N429"/>
  <c r="R428"/>
  <c r="T427"/>
  <c r="B427"/>
  <c r="D426"/>
  <c r="N425"/>
  <c r="R424"/>
  <c r="T423"/>
  <c r="B423"/>
  <c r="D422"/>
  <c r="N421"/>
  <c r="R420"/>
  <c r="T419"/>
  <c r="B419"/>
  <c r="D418"/>
  <c r="N417"/>
  <c r="R416"/>
  <c r="T415"/>
  <c r="B415"/>
  <c r="D414"/>
  <c r="N413"/>
  <c r="R412"/>
  <c r="T411"/>
  <c r="B411"/>
  <c r="D410"/>
  <c r="N409"/>
  <c r="R408"/>
  <c r="T407"/>
  <c r="T682"/>
  <c r="B1041" s="1"/>
  <c r="T678"/>
  <c r="B1037" s="1"/>
  <c r="T674"/>
  <c r="B1033" s="1"/>
  <c r="T670"/>
  <c r="B1029" s="1"/>
  <c r="T666"/>
  <c r="B1025" s="1"/>
  <c r="T662"/>
  <c r="B1021" s="1"/>
  <c r="T658"/>
  <c r="B1017" s="1"/>
  <c r="T654"/>
  <c r="B1013" s="1"/>
  <c r="T650"/>
  <c r="B1009" s="1"/>
  <c r="T646"/>
  <c r="B1005" s="1"/>
  <c r="T642"/>
  <c r="B1001" s="1"/>
  <c r="T638"/>
  <c r="B997" s="1"/>
  <c r="T634"/>
  <c r="B993" s="1"/>
  <c r="T630"/>
  <c r="B989" s="1"/>
  <c r="T626"/>
  <c r="B985" s="1"/>
  <c r="D623"/>
  <c r="D621"/>
  <c r="D619"/>
  <c r="D617"/>
  <c r="D615"/>
  <c r="B614"/>
  <c r="T612"/>
  <c r="D611"/>
  <c r="B610"/>
  <c r="T608"/>
  <c r="D607"/>
  <c r="B606"/>
  <c r="T604"/>
  <c r="D603"/>
  <c r="B602"/>
  <c r="T600"/>
  <c r="D599"/>
  <c r="B598"/>
  <c r="T596"/>
  <c r="D595"/>
  <c r="B594"/>
  <c r="T592"/>
  <c r="D591"/>
  <c r="B590"/>
  <c r="T588"/>
  <c r="D587"/>
  <c r="B586"/>
  <c r="T584"/>
  <c r="D583"/>
  <c r="B582"/>
  <c r="T580"/>
  <c r="D579"/>
  <c r="B578"/>
  <c r="T576"/>
  <c r="D575"/>
  <c r="B574"/>
  <c r="T572"/>
  <c r="D571"/>
  <c r="B570"/>
  <c r="T568"/>
  <c r="D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D515"/>
  <c r="N514"/>
  <c r="R513"/>
  <c r="T512"/>
  <c r="B512"/>
  <c r="D511"/>
  <c r="N510"/>
  <c r="R509"/>
  <c r="T508"/>
  <c r="B508"/>
  <c r="D507"/>
  <c r="N506"/>
  <c r="R505"/>
  <c r="T504"/>
  <c r="B504"/>
  <c r="D503"/>
  <c r="N502"/>
  <c r="R501"/>
  <c r="T500"/>
  <c r="B500"/>
  <c r="D499"/>
  <c r="N498"/>
  <c r="R497"/>
  <c r="T496"/>
  <c r="B496"/>
  <c r="D495"/>
  <c r="N494"/>
  <c r="R493"/>
  <c r="T492"/>
  <c r="B492"/>
  <c r="D491"/>
  <c r="N490"/>
  <c r="R489"/>
  <c r="T488"/>
  <c r="B488"/>
  <c r="D487"/>
  <c r="N486"/>
  <c r="R485"/>
  <c r="T484"/>
  <c r="B484"/>
  <c r="D483"/>
  <c r="N482"/>
  <c r="R481"/>
  <c r="T480"/>
  <c r="B480"/>
  <c r="D479"/>
  <c r="N478"/>
  <c r="R477"/>
  <c r="T476"/>
  <c r="B476"/>
  <c r="D475"/>
  <c r="N474"/>
  <c r="R473"/>
  <c r="T472"/>
  <c r="B472"/>
  <c r="D471"/>
  <c r="N470"/>
  <c r="R469"/>
  <c r="T468"/>
  <c r="B468"/>
  <c r="D467"/>
  <c r="N466"/>
  <c r="R465"/>
  <c r="T464"/>
  <c r="B464"/>
  <c r="D463"/>
  <c r="N462"/>
  <c r="R461"/>
  <c r="T460"/>
  <c r="B460"/>
  <c r="D459"/>
  <c r="N458"/>
  <c r="R457"/>
  <c r="T456"/>
  <c r="B456"/>
  <c r="D455"/>
  <c r="N454"/>
  <c r="R453"/>
  <c r="T452"/>
  <c r="B452"/>
  <c r="D451"/>
  <c r="N450"/>
  <c r="R449"/>
  <c r="T448"/>
  <c r="B448"/>
  <c r="D447"/>
  <c r="N446"/>
  <c r="R445"/>
  <c r="T444"/>
  <c r="B444"/>
  <c r="D443"/>
  <c r="N442"/>
  <c r="R441"/>
  <c r="T440"/>
  <c r="B440"/>
  <c r="D439"/>
  <c r="N438"/>
  <c r="R437"/>
  <c r="T436"/>
  <c r="B436"/>
  <c r="D435"/>
  <c r="N434"/>
  <c r="R433"/>
  <c r="T432"/>
  <c r="B432"/>
  <c r="D431"/>
  <c r="N430"/>
  <c r="R429"/>
  <c r="T428"/>
  <c r="B428"/>
  <c r="D427"/>
  <c r="N426"/>
  <c r="R425"/>
  <c r="T424"/>
  <c r="B424"/>
  <c r="D423"/>
  <c r="N422"/>
  <c r="R421"/>
  <c r="T420"/>
  <c r="B420"/>
  <c r="D419"/>
  <c r="N418"/>
  <c r="R417"/>
  <c r="T416"/>
  <c r="B416"/>
  <c r="D415"/>
  <c r="N414"/>
  <c r="R413"/>
  <c r="T412"/>
  <c r="B412"/>
  <c r="D411"/>
  <c r="N410"/>
  <c r="R409"/>
  <c r="T408"/>
  <c r="B408"/>
  <c r="T679"/>
  <c r="B1038" s="1"/>
  <c r="T675"/>
  <c r="B1034" s="1"/>
  <c r="T671"/>
  <c r="B1030" s="1"/>
  <c r="T667"/>
  <c r="B1026" s="1"/>
  <c r="T663"/>
  <c r="B1022" s="1"/>
  <c r="T659"/>
  <c r="B1018" s="1"/>
  <c r="T655"/>
  <c r="B1014" s="1"/>
  <c r="T651"/>
  <c r="B1010" s="1"/>
  <c r="T647"/>
  <c r="B1006" s="1"/>
  <c r="T643"/>
  <c r="B1002" s="1"/>
  <c r="T639"/>
  <c r="B998" s="1"/>
  <c r="T635"/>
  <c r="B994" s="1"/>
  <c r="T631"/>
  <c r="B990" s="1"/>
  <c r="T627"/>
  <c r="B986" s="1"/>
  <c r="T623"/>
  <c r="T621"/>
  <c r="T619"/>
  <c r="T617"/>
  <c r="T615"/>
  <c r="D614"/>
  <c r="B613"/>
  <c r="T611"/>
  <c r="D610"/>
  <c r="B609"/>
  <c r="T607"/>
  <c r="D606"/>
  <c r="B605"/>
  <c r="T603"/>
  <c r="D602"/>
  <c r="B601"/>
  <c r="T599"/>
  <c r="D598"/>
  <c r="B597"/>
  <c r="T595"/>
  <c r="D594"/>
  <c r="B593"/>
  <c r="T591"/>
  <c r="D590"/>
  <c r="B589"/>
  <c r="T587"/>
  <c r="D586"/>
  <c r="B585"/>
  <c r="T583"/>
  <c r="D582"/>
  <c r="B581"/>
  <c r="T579"/>
  <c r="D578"/>
  <c r="B577"/>
  <c r="T575"/>
  <c r="D574"/>
  <c r="B573"/>
  <c r="T571"/>
  <c r="D570"/>
  <c r="B569"/>
  <c r="T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N515"/>
  <c r="R514"/>
  <c r="T513"/>
  <c r="B513"/>
  <c r="D512"/>
  <c r="N511"/>
  <c r="R510"/>
  <c r="T509"/>
  <c r="B509"/>
  <c r="D508"/>
  <c r="N507"/>
  <c r="R506"/>
  <c r="T505"/>
  <c r="B505"/>
  <c r="D504"/>
  <c r="N503"/>
  <c r="R502"/>
  <c r="T501"/>
  <c r="B501"/>
  <c r="D500"/>
  <c r="N499"/>
  <c r="R498"/>
  <c r="T497"/>
  <c r="B497"/>
  <c r="D496"/>
  <c r="N495"/>
  <c r="R494"/>
  <c r="T493"/>
  <c r="B493"/>
  <c r="D492"/>
  <c r="N491"/>
  <c r="R490"/>
  <c r="T489"/>
  <c r="B489"/>
  <c r="D488"/>
  <c r="N487"/>
  <c r="R486"/>
  <c r="T485"/>
  <c r="B485"/>
  <c r="D484"/>
  <c r="N483"/>
  <c r="R482"/>
  <c r="T481"/>
  <c r="B481"/>
  <c r="D480"/>
  <c r="N479"/>
  <c r="R478"/>
  <c r="T477"/>
  <c r="B477"/>
  <c r="D476"/>
  <c r="N475"/>
  <c r="R474"/>
  <c r="T473"/>
  <c r="B473"/>
  <c r="D472"/>
  <c r="N471"/>
  <c r="R470"/>
  <c r="T469"/>
  <c r="B469"/>
  <c r="D468"/>
  <c r="N467"/>
  <c r="R466"/>
  <c r="T465"/>
  <c r="B465"/>
  <c r="D464"/>
  <c r="N463"/>
  <c r="R462"/>
  <c r="T461"/>
  <c r="B461"/>
  <c r="D460"/>
  <c r="N459"/>
  <c r="R458"/>
  <c r="T457"/>
  <c r="B457"/>
  <c r="D456"/>
  <c r="N455"/>
  <c r="R454"/>
  <c r="T453"/>
  <c r="B453"/>
  <c r="D452"/>
  <c r="N451"/>
  <c r="R450"/>
  <c r="T449"/>
  <c r="B449"/>
  <c r="D448"/>
  <c r="N447"/>
  <c r="R446"/>
  <c r="T445"/>
  <c r="B445"/>
  <c r="D444"/>
  <c r="N443"/>
  <c r="R442"/>
  <c r="T441"/>
  <c r="B441"/>
  <c r="D440"/>
  <c r="N439"/>
  <c r="R438"/>
  <c r="T437"/>
  <c r="B437"/>
  <c r="D436"/>
  <c r="N435"/>
  <c r="R434"/>
  <c r="T433"/>
  <c r="B433"/>
  <c r="D432"/>
  <c r="N431"/>
  <c r="R430"/>
  <c r="T429"/>
  <c r="B429"/>
  <c r="D428"/>
  <c r="N427"/>
  <c r="R426"/>
  <c r="T425"/>
  <c r="B425"/>
  <c r="D424"/>
  <c r="N423"/>
  <c r="R422"/>
  <c r="T421"/>
  <c r="B421"/>
  <c r="D420"/>
  <c r="N419"/>
  <c r="R418"/>
  <c r="T417"/>
  <c r="B417"/>
  <c r="D416"/>
  <c r="N415"/>
  <c r="R414"/>
  <c r="T413"/>
  <c r="N411"/>
  <c r="D408"/>
  <c r="T406"/>
  <c r="B406"/>
  <c r="H405"/>
  <c r="R404"/>
  <c r="B404"/>
  <c r="H403"/>
  <c r="T402"/>
  <c r="D402"/>
  <c r="R401"/>
  <c r="B401"/>
  <c r="N400"/>
  <c r="Z399"/>
  <c r="H399"/>
  <c r="T398"/>
  <c r="D398"/>
  <c r="R397"/>
  <c r="B397"/>
  <c r="N396"/>
  <c r="Z395"/>
  <c r="H395"/>
  <c r="T394"/>
  <c r="D394"/>
  <c r="T393"/>
  <c r="D393"/>
  <c r="V392"/>
  <c r="H392"/>
  <c r="Z391"/>
  <c r="N391"/>
  <c r="AB390"/>
  <c r="R390"/>
  <c r="B390"/>
  <c r="V389"/>
  <c r="H389"/>
  <c r="AB388"/>
  <c r="R388"/>
  <c r="B388"/>
  <c r="V387"/>
  <c r="H387"/>
  <c r="AB386"/>
  <c r="R386"/>
  <c r="B386"/>
  <c r="V385"/>
  <c r="H385"/>
  <c r="AB384"/>
  <c r="R384"/>
  <c r="B384"/>
  <c r="V383"/>
  <c r="H383"/>
  <c r="AB382"/>
  <c r="R382"/>
  <c r="B382"/>
  <c r="V381"/>
  <c r="H381"/>
  <c r="AB380"/>
  <c r="R380"/>
  <c r="B380"/>
  <c r="V379"/>
  <c r="H379"/>
  <c r="AB378"/>
  <c r="R378"/>
  <c r="B378"/>
  <c r="V377"/>
  <c r="H377"/>
  <c r="AB376"/>
  <c r="R376"/>
  <c r="B376"/>
  <c r="V375"/>
  <c r="H375"/>
  <c r="AB374"/>
  <c r="R374"/>
  <c r="B374"/>
  <c r="Z373"/>
  <c r="N373"/>
  <c r="AF372"/>
  <c r="V372"/>
  <c r="H372"/>
  <c r="AD371"/>
  <c r="T371"/>
  <c r="D371"/>
  <c r="AB370"/>
  <c r="R370"/>
  <c r="B370"/>
  <c r="Z369"/>
  <c r="R369"/>
  <c r="B369"/>
  <c r="Z368"/>
  <c r="R368"/>
  <c r="B368"/>
  <c r="Z367"/>
  <c r="R367"/>
  <c r="B367"/>
  <c r="Z366"/>
  <c r="R366"/>
  <c r="B366"/>
  <c r="Z365"/>
  <c r="R365"/>
  <c r="B365"/>
  <c r="Z364"/>
  <c r="R364"/>
  <c r="B364"/>
  <c r="Z363"/>
  <c r="R363"/>
  <c r="B363"/>
  <c r="Z362"/>
  <c r="R362"/>
  <c r="B362"/>
  <c r="Z361"/>
  <c r="R361"/>
  <c r="B361"/>
  <c r="Z360"/>
  <c r="R360"/>
  <c r="B360"/>
  <c r="Z359"/>
  <c r="R359"/>
  <c r="B359"/>
  <c r="Z358"/>
  <c r="R358"/>
  <c r="B358"/>
  <c r="Z357"/>
  <c r="R357"/>
  <c r="B357"/>
  <c r="Z356"/>
  <c r="R356"/>
  <c r="B356"/>
  <c r="Z355"/>
  <c r="R355"/>
  <c r="B355"/>
  <c r="Z354"/>
  <c r="R354"/>
  <c r="B354"/>
  <c r="Z353"/>
  <c r="R353"/>
  <c r="B353"/>
  <c r="Z352"/>
  <c r="R352"/>
  <c r="B352"/>
  <c r="Z351"/>
  <c r="R351"/>
  <c r="B351"/>
  <c r="Z350"/>
  <c r="R350"/>
  <c r="D350"/>
  <c r="AB349"/>
  <c r="T349"/>
  <c r="H349"/>
  <c r="AD348"/>
  <c r="V348"/>
  <c r="N348"/>
  <c r="AF347"/>
  <c r="X347"/>
  <c r="P347"/>
  <c r="B347"/>
  <c r="Z346"/>
  <c r="R346"/>
  <c r="D346"/>
  <c r="AB345"/>
  <c r="T345"/>
  <c r="H345"/>
  <c r="AD344"/>
  <c r="V344"/>
  <c r="N344"/>
  <c r="AF343"/>
  <c r="X343"/>
  <c r="P343"/>
  <c r="B343"/>
  <c r="Z342"/>
  <c r="R342"/>
  <c r="D342"/>
  <c r="AB341"/>
  <c r="T341"/>
  <c r="H341"/>
  <c r="AD340"/>
  <c r="V340"/>
  <c r="N340"/>
  <c r="AF339"/>
  <c r="X339"/>
  <c r="P339"/>
  <c r="B339"/>
  <c r="Z338"/>
  <c r="R338"/>
  <c r="D338"/>
  <c r="AB337"/>
  <c r="T337"/>
  <c r="H337"/>
  <c r="AD336"/>
  <c r="V336"/>
  <c r="N336"/>
  <c r="AF335"/>
  <c r="X335"/>
  <c r="P335"/>
  <c r="B335"/>
  <c r="Z334"/>
  <c r="R334"/>
  <c r="D334"/>
  <c r="AB333"/>
  <c r="T333"/>
  <c r="H333"/>
  <c r="AD332"/>
  <c r="V332"/>
  <c r="N332"/>
  <c r="AF331"/>
  <c r="X331"/>
  <c r="P331"/>
  <c r="B331"/>
  <c r="Z330"/>
  <c r="R330"/>
  <c r="D330"/>
  <c r="AB329"/>
  <c r="T329"/>
  <c r="H329"/>
  <c r="AD328"/>
  <c r="V328"/>
  <c r="N328"/>
  <c r="AF327"/>
  <c r="X327"/>
  <c r="P327"/>
  <c r="B327"/>
  <c r="Z326"/>
  <c r="R326"/>
  <c r="D326"/>
  <c r="AB325"/>
  <c r="T325"/>
  <c r="J325"/>
  <c r="AF324"/>
  <c r="X324"/>
  <c r="P324"/>
  <c r="H324"/>
  <c r="D412"/>
  <c r="B409"/>
  <c r="B407"/>
  <c r="D406"/>
  <c r="N405"/>
  <c r="T404"/>
  <c r="D404"/>
  <c r="N403"/>
  <c r="Z402"/>
  <c r="H402"/>
  <c r="T401"/>
  <c r="D401"/>
  <c r="R400"/>
  <c r="B400"/>
  <c r="N399"/>
  <c r="Z398"/>
  <c r="H398"/>
  <c r="T397"/>
  <c r="D397"/>
  <c r="R396"/>
  <c r="B396"/>
  <c r="N395"/>
  <c r="Z394"/>
  <c r="H394"/>
  <c r="V393"/>
  <c r="H393"/>
  <c r="Z392"/>
  <c r="N392"/>
  <c r="AB391"/>
  <c r="R391"/>
  <c r="B391"/>
  <c r="T390"/>
  <c r="D390"/>
  <c r="Z389"/>
  <c r="N389"/>
  <c r="AD388"/>
  <c r="T388"/>
  <c r="D388"/>
  <c r="Z387"/>
  <c r="N387"/>
  <c r="AD386"/>
  <c r="T386"/>
  <c r="D386"/>
  <c r="Z385"/>
  <c r="N385"/>
  <c r="AD384"/>
  <c r="T384"/>
  <c r="D384"/>
  <c r="Z383"/>
  <c r="N383"/>
  <c r="AD382"/>
  <c r="T382"/>
  <c r="D382"/>
  <c r="Z381"/>
  <c r="N381"/>
  <c r="AD380"/>
  <c r="T380"/>
  <c r="D380"/>
  <c r="Z379"/>
  <c r="N379"/>
  <c r="AD378"/>
  <c r="T378"/>
  <c r="D378"/>
  <c r="Z377"/>
  <c r="N377"/>
  <c r="AD376"/>
  <c r="T376"/>
  <c r="D376"/>
  <c r="Z375"/>
  <c r="N375"/>
  <c r="AD374"/>
  <c r="T374"/>
  <c r="D374"/>
  <c r="AB373"/>
  <c r="R373"/>
  <c r="B373"/>
  <c r="Z372"/>
  <c r="N372"/>
  <c r="AF371"/>
  <c r="V371"/>
  <c r="H371"/>
  <c r="AD370"/>
  <c r="T370"/>
  <c r="D370"/>
  <c r="AB369"/>
  <c r="T369"/>
  <c r="D369"/>
  <c r="AB368"/>
  <c r="T368"/>
  <c r="D368"/>
  <c r="AB367"/>
  <c r="T367"/>
  <c r="D367"/>
  <c r="AB366"/>
  <c r="T366"/>
  <c r="D366"/>
  <c r="AB365"/>
  <c r="T365"/>
  <c r="D365"/>
  <c r="AB364"/>
  <c r="T364"/>
  <c r="D364"/>
  <c r="AB363"/>
  <c r="T363"/>
  <c r="D363"/>
  <c r="AB362"/>
  <c r="T362"/>
  <c r="D362"/>
  <c r="AB361"/>
  <c r="T361"/>
  <c r="D361"/>
  <c r="AB360"/>
  <c r="T360"/>
  <c r="D360"/>
  <c r="AB359"/>
  <c r="T359"/>
  <c r="D359"/>
  <c r="AB358"/>
  <c r="T358"/>
  <c r="D358"/>
  <c r="AB357"/>
  <c r="T357"/>
  <c r="D357"/>
  <c r="AB356"/>
  <c r="T356"/>
  <c r="D356"/>
  <c r="AB355"/>
  <c r="T355"/>
  <c r="D355"/>
  <c r="AB354"/>
  <c r="T354"/>
  <c r="D354"/>
  <c r="AB353"/>
  <c r="T353"/>
  <c r="D353"/>
  <c r="AB352"/>
  <c r="T352"/>
  <c r="D352"/>
  <c r="AB351"/>
  <c r="T351"/>
  <c r="D351"/>
  <c r="AB350"/>
  <c r="T350"/>
  <c r="H350"/>
  <c r="AD349"/>
  <c r="V349"/>
  <c r="N349"/>
  <c r="AF348"/>
  <c r="X348"/>
  <c r="P348"/>
  <c r="B348"/>
  <c r="Z347"/>
  <c r="R347"/>
  <c r="D347"/>
  <c r="AB346"/>
  <c r="T346"/>
  <c r="H346"/>
  <c r="AD345"/>
  <c r="V345"/>
  <c r="N345"/>
  <c r="AF344"/>
  <c r="X344"/>
  <c r="P344"/>
  <c r="B344"/>
  <c r="Z343"/>
  <c r="R343"/>
  <c r="D343"/>
  <c r="AB342"/>
  <c r="T342"/>
  <c r="H342"/>
  <c r="AD341"/>
  <c r="V341"/>
  <c r="N341"/>
  <c r="AF340"/>
  <c r="X340"/>
  <c r="P340"/>
  <c r="B340"/>
  <c r="Z339"/>
  <c r="R339"/>
  <c r="D339"/>
  <c r="AB338"/>
  <c r="T338"/>
  <c r="H338"/>
  <c r="AD337"/>
  <c r="V337"/>
  <c r="N337"/>
  <c r="AF336"/>
  <c r="X336"/>
  <c r="P336"/>
  <c r="B336"/>
  <c r="Z335"/>
  <c r="R335"/>
  <c r="D335"/>
  <c r="AB334"/>
  <c r="T334"/>
  <c r="H334"/>
  <c r="AD333"/>
  <c r="V333"/>
  <c r="N333"/>
  <c r="AF332"/>
  <c r="X332"/>
  <c r="P332"/>
  <c r="B332"/>
  <c r="Z331"/>
  <c r="R331"/>
  <c r="D331"/>
  <c r="AB330"/>
  <c r="T330"/>
  <c r="H330"/>
  <c r="AD329"/>
  <c r="V329"/>
  <c r="N329"/>
  <c r="AF328"/>
  <c r="X328"/>
  <c r="P328"/>
  <c r="B328"/>
  <c r="Z327"/>
  <c r="R327"/>
  <c r="D327"/>
  <c r="AB326"/>
  <c r="T326"/>
  <c r="H326"/>
  <c r="AD325"/>
  <c r="V325"/>
  <c r="N325"/>
  <c r="B325"/>
  <c r="Z324"/>
  <c r="R324"/>
  <c r="J324"/>
  <c r="B324"/>
  <c r="B413"/>
  <c r="T409"/>
  <c r="D407"/>
  <c r="N406"/>
  <c r="R405"/>
  <c r="B405"/>
  <c r="H404"/>
  <c r="R403"/>
  <c r="B403"/>
  <c r="N402"/>
  <c r="Z401"/>
  <c r="H401"/>
  <c r="T400"/>
  <c r="D400"/>
  <c r="R399"/>
  <c r="B399"/>
  <c r="N398"/>
  <c r="Z397"/>
  <c r="H397"/>
  <c r="T396"/>
  <c r="D396"/>
  <c r="R395"/>
  <c r="B395"/>
  <c r="N394"/>
  <c r="Z393"/>
  <c r="N393"/>
  <c r="AB392"/>
  <c r="R392"/>
  <c r="B392"/>
  <c r="T391"/>
  <c r="D391"/>
  <c r="V390"/>
  <c r="H390"/>
  <c r="AB389"/>
  <c r="R389"/>
  <c r="B389"/>
  <c r="V388"/>
  <c r="H388"/>
  <c r="AB387"/>
  <c r="R387"/>
  <c r="B387"/>
  <c r="V386"/>
  <c r="H386"/>
  <c r="AB385"/>
  <c r="R385"/>
  <c r="B385"/>
  <c r="V384"/>
  <c r="H384"/>
  <c r="AB383"/>
  <c r="R383"/>
  <c r="B383"/>
  <c r="V382"/>
  <c r="H382"/>
  <c r="AB381"/>
  <c r="R381"/>
  <c r="B381"/>
  <c r="V380"/>
  <c r="H380"/>
  <c r="AB379"/>
  <c r="R379"/>
  <c r="B379"/>
  <c r="V378"/>
  <c r="H378"/>
  <c r="AB377"/>
  <c r="R377"/>
  <c r="B377"/>
  <c r="V376"/>
  <c r="H376"/>
  <c r="AB375"/>
  <c r="R375"/>
  <c r="B375"/>
  <c r="V374"/>
  <c r="H374"/>
  <c r="AD373"/>
  <c r="T373"/>
  <c r="D373"/>
  <c r="AB372"/>
  <c r="R372"/>
  <c r="B372"/>
  <c r="Z371"/>
  <c r="N371"/>
  <c r="AF370"/>
  <c r="V370"/>
  <c r="H370"/>
  <c r="AD369"/>
  <c r="V369"/>
  <c r="H369"/>
  <c r="AD368"/>
  <c r="V368"/>
  <c r="H368"/>
  <c r="AD367"/>
  <c r="V367"/>
  <c r="H367"/>
  <c r="AD366"/>
  <c r="V366"/>
  <c r="H366"/>
  <c r="AD365"/>
  <c r="V365"/>
  <c r="H365"/>
  <c r="AD364"/>
  <c r="V364"/>
  <c r="H364"/>
  <c r="AD363"/>
  <c r="V363"/>
  <c r="H363"/>
  <c r="AD362"/>
  <c r="V362"/>
  <c r="H362"/>
  <c r="AD361"/>
  <c r="V361"/>
  <c r="H361"/>
  <c r="AD360"/>
  <c r="V360"/>
  <c r="H360"/>
  <c r="AD359"/>
  <c r="V359"/>
  <c r="H359"/>
  <c r="AD358"/>
  <c r="V358"/>
  <c r="H358"/>
  <c r="AD357"/>
  <c r="V357"/>
  <c r="H357"/>
  <c r="AD356"/>
  <c r="V356"/>
  <c r="H356"/>
  <c r="AD355"/>
  <c r="V355"/>
  <c r="H355"/>
  <c r="AD354"/>
  <c r="V354"/>
  <c r="H354"/>
  <c r="AD353"/>
  <c r="V353"/>
  <c r="H353"/>
  <c r="AD352"/>
  <c r="V352"/>
  <c r="H352"/>
  <c r="AD351"/>
  <c r="V351"/>
  <c r="H351"/>
  <c r="AD350"/>
  <c r="V350"/>
  <c r="N350"/>
  <c r="AF349"/>
  <c r="X349"/>
  <c r="P349"/>
  <c r="B349"/>
  <c r="Z348"/>
  <c r="R348"/>
  <c r="D348"/>
  <c r="AB347"/>
  <c r="T347"/>
  <c r="H347"/>
  <c r="AD346"/>
  <c r="V346"/>
  <c r="N346"/>
  <c r="AF345"/>
  <c r="X345"/>
  <c r="P345"/>
  <c r="B345"/>
  <c r="Z344"/>
  <c r="R344"/>
  <c r="D344"/>
  <c r="AB343"/>
  <c r="T343"/>
  <c r="H343"/>
  <c r="AD342"/>
  <c r="V342"/>
  <c r="N342"/>
  <c r="AF341"/>
  <c r="X341"/>
  <c r="P341"/>
  <c r="B341"/>
  <c r="Z340"/>
  <c r="R340"/>
  <c r="D340"/>
  <c r="AB339"/>
  <c r="T339"/>
  <c r="H339"/>
  <c r="AD338"/>
  <c r="V338"/>
  <c r="N338"/>
  <c r="AF337"/>
  <c r="X337"/>
  <c r="P337"/>
  <c r="B337"/>
  <c r="Z336"/>
  <c r="R336"/>
  <c r="D336"/>
  <c r="AB335"/>
  <c r="T335"/>
  <c r="H335"/>
  <c r="AD334"/>
  <c r="V334"/>
  <c r="N334"/>
  <c r="AF333"/>
  <c r="X333"/>
  <c r="P333"/>
  <c r="B333"/>
  <c r="Z332"/>
  <c r="R332"/>
  <c r="D332"/>
  <c r="AB331"/>
  <c r="T331"/>
  <c r="H331"/>
  <c r="AD330"/>
  <c r="V330"/>
  <c r="N330"/>
  <c r="AF329"/>
  <c r="X329"/>
  <c r="P329"/>
  <c r="B329"/>
  <c r="Z328"/>
  <c r="R328"/>
  <c r="D328"/>
  <c r="AB327"/>
  <c r="T327"/>
  <c r="H327"/>
  <c r="AD326"/>
  <c r="V326"/>
  <c r="N326"/>
  <c r="AF325"/>
  <c r="X325"/>
  <c r="P325"/>
  <c r="D325"/>
  <c r="AB324"/>
  <c r="T324"/>
  <c r="L324"/>
  <c r="D324"/>
  <c r="R410"/>
  <c r="N407"/>
  <c r="R406"/>
  <c r="T405"/>
  <c r="D405"/>
  <c r="N404"/>
  <c r="T403"/>
  <c r="D403"/>
  <c r="R402"/>
  <c r="B402"/>
  <c r="N401"/>
  <c r="Z400"/>
  <c r="H400"/>
  <c r="T399"/>
  <c r="D399"/>
  <c r="R398"/>
  <c r="B398"/>
  <c r="N397"/>
  <c r="Z396"/>
  <c r="H396"/>
  <c r="T395"/>
  <c r="D395"/>
  <c r="R394"/>
  <c r="B394"/>
  <c r="R393"/>
  <c r="B393"/>
  <c r="T392"/>
  <c r="D392"/>
  <c r="V391"/>
  <c r="H391"/>
  <c r="Z390"/>
  <c r="N390"/>
  <c r="AD389"/>
  <c r="T389"/>
  <c r="D389"/>
  <c r="Z388"/>
  <c r="N388"/>
  <c r="AD387"/>
  <c r="T387"/>
  <c r="D387"/>
  <c r="Z386"/>
  <c r="N386"/>
  <c r="AD385"/>
  <c r="T385"/>
  <c r="D385"/>
  <c r="Z384"/>
  <c r="N384"/>
  <c r="AD383"/>
  <c r="T383"/>
  <c r="D383"/>
  <c r="Z382"/>
  <c r="N382"/>
  <c r="AD381"/>
  <c r="T381"/>
  <c r="D381"/>
  <c r="Z380"/>
  <c r="N380"/>
  <c r="AD379"/>
  <c r="T379"/>
  <c r="D379"/>
  <c r="Z378"/>
  <c r="N378"/>
  <c r="AD377"/>
  <c r="T377"/>
  <c r="D377"/>
  <c r="Z376"/>
  <c r="N376"/>
  <c r="AD375"/>
  <c r="T375"/>
  <c r="D375"/>
  <c r="Z374"/>
  <c r="N374"/>
  <c r="AF373"/>
  <c r="V373"/>
  <c r="H373"/>
  <c r="AD372"/>
  <c r="T372"/>
  <c r="D372"/>
  <c r="AB371"/>
  <c r="R371"/>
  <c r="B371"/>
  <c r="Z370"/>
  <c r="N370"/>
  <c r="AF369"/>
  <c r="X369"/>
  <c r="N369"/>
  <c r="AF368"/>
  <c r="X368"/>
  <c r="N368"/>
  <c r="AF367"/>
  <c r="X367"/>
  <c r="N367"/>
  <c r="AF366"/>
  <c r="X366"/>
  <c r="N366"/>
  <c r="AF365"/>
  <c r="X365"/>
  <c r="N365"/>
  <c r="AF364"/>
  <c r="X364"/>
  <c r="N364"/>
  <c r="AF363"/>
  <c r="X363"/>
  <c r="N363"/>
  <c r="AF362"/>
  <c r="X362"/>
  <c r="N362"/>
  <c r="AF361"/>
  <c r="X361"/>
  <c r="N361"/>
  <c r="AF360"/>
  <c r="X360"/>
  <c r="N360"/>
  <c r="AF359"/>
  <c r="X359"/>
  <c r="N359"/>
  <c r="AF358"/>
  <c r="X358"/>
  <c r="N358"/>
  <c r="AF357"/>
  <c r="X357"/>
  <c r="N357"/>
  <c r="AF356"/>
  <c r="X356"/>
  <c r="N356"/>
  <c r="AF355"/>
  <c r="X355"/>
  <c r="N355"/>
  <c r="AF354"/>
  <c r="X354"/>
  <c r="N354"/>
  <c r="AF353"/>
  <c r="X353"/>
  <c r="N353"/>
  <c r="AF352"/>
  <c r="X352"/>
  <c r="N352"/>
  <c r="AF351"/>
  <c r="X351"/>
  <c r="N351"/>
  <c r="AF350"/>
  <c r="X350"/>
  <c r="P350"/>
  <c r="B350"/>
  <c r="Z349"/>
  <c r="R349"/>
  <c r="D349"/>
  <c r="AB348"/>
  <c r="T348"/>
  <c r="H348"/>
  <c r="AD347"/>
  <c r="V347"/>
  <c r="N347"/>
  <c r="AF346"/>
  <c r="X346"/>
  <c r="P346"/>
  <c r="B346"/>
  <c r="Z345"/>
  <c r="R345"/>
  <c r="D345"/>
  <c r="AB344"/>
  <c r="T344"/>
  <c r="H344"/>
  <c r="AD343"/>
  <c r="V343"/>
  <c r="N343"/>
  <c r="AF342"/>
  <c r="X342"/>
  <c r="P342"/>
  <c r="B342"/>
  <c r="Z341"/>
  <c r="R341"/>
  <c r="D341"/>
  <c r="AB340"/>
  <c r="T340"/>
  <c r="H340"/>
  <c r="AD339"/>
  <c r="V339"/>
  <c r="N339"/>
  <c r="AF338"/>
  <c r="X338"/>
  <c r="P338"/>
  <c r="B338"/>
  <c r="Z337"/>
  <c r="R337"/>
  <c r="D337"/>
  <c r="AB336"/>
  <c r="T336"/>
  <c r="H336"/>
  <c r="AD335"/>
  <c r="V335"/>
  <c r="N335"/>
  <c r="AF334"/>
  <c r="X334"/>
  <c r="P334"/>
  <c r="B334"/>
  <c r="Z333"/>
  <c r="R333"/>
  <c r="D333"/>
  <c r="AB332"/>
  <c r="T332"/>
  <c r="H332"/>
  <c r="AD331"/>
  <c r="V331"/>
  <c r="N331"/>
  <c r="AF330"/>
  <c r="X330"/>
  <c r="P330"/>
  <c r="B330"/>
  <c r="Z329"/>
  <c r="R329"/>
  <c r="D329"/>
  <c r="AB328"/>
  <c r="T328"/>
  <c r="H328"/>
  <c r="AD327"/>
  <c r="V327"/>
  <c r="N327"/>
  <c r="AF326"/>
  <c r="X326"/>
  <c r="P326"/>
  <c r="B326"/>
  <c r="Z325"/>
  <c r="R325"/>
  <c r="H325"/>
  <c r="AD324"/>
  <c r="V324"/>
  <c r="N324"/>
  <c r="F324"/>
  <c r="D22" i="18"/>
  <c r="D23"/>
  <c r="H190"/>
  <c r="H62" i="17"/>
  <c r="H62" i="16"/>
  <c r="H190" i="12"/>
  <c r="H62" i="9"/>
  <c r="H62" i="6"/>
  <c r="I97" i="2"/>
  <c r="C24" i="18"/>
  <c r="W54" i="3"/>
  <c r="X54" s="1"/>
  <c r="W62"/>
  <c r="X62" s="1"/>
  <c r="W70"/>
  <c r="X70" s="1"/>
  <c r="U74"/>
  <c r="R74"/>
  <c r="A49" i="17"/>
  <c r="A48"/>
  <c r="F30" i="12"/>
  <c r="F31" s="1"/>
  <c r="F32" s="1"/>
  <c r="F33" s="1"/>
  <c r="F17"/>
  <c r="F100"/>
  <c r="F24"/>
  <c r="F92"/>
  <c r="I141" i="18"/>
  <c r="I55" i="11"/>
  <c r="B55" s="1"/>
  <c r="A55" s="1"/>
  <c r="C40" i="12"/>
  <c r="C41" s="1"/>
  <c r="C42" s="1"/>
  <c r="C43"/>
  <c r="E54" i="11"/>
  <c r="B214" s="1"/>
  <c r="D214" s="1"/>
  <c r="E119"/>
  <c r="E112"/>
  <c r="U49" i="3"/>
  <c r="R49"/>
  <c r="U57"/>
  <c r="R57"/>
  <c r="U65"/>
  <c r="R65"/>
  <c r="U73"/>
  <c r="R73"/>
  <c r="G51" i="11"/>
  <c r="C51"/>
  <c r="H51"/>
  <c r="D51"/>
  <c r="E51"/>
  <c r="F51"/>
  <c r="G2" i="12"/>
  <c r="G3" i="13"/>
  <c r="H17" i="12"/>
  <c r="H30"/>
  <c r="H31" s="1"/>
  <c r="H32" s="1"/>
  <c r="H33" s="1"/>
  <c r="H119" i="11"/>
  <c r="H112"/>
  <c r="H54"/>
  <c r="A38" i="5"/>
  <c r="K38" i="4" s="1"/>
  <c r="L38"/>
  <c r="H9" i="17"/>
  <c r="H9" i="16"/>
  <c r="H8" i="10"/>
  <c r="H9" i="9"/>
  <c r="H7" i="5"/>
  <c r="R7" i="4" s="1"/>
  <c r="H9"/>
  <c r="H9" i="6"/>
  <c r="W48" i="3"/>
  <c r="X48" s="1"/>
  <c r="W56"/>
  <c r="X56" s="1"/>
  <c r="W64"/>
  <c r="X64" s="1"/>
  <c r="W72"/>
  <c r="X72" s="1"/>
  <c r="B214" i="9"/>
  <c r="D214" s="1"/>
  <c r="D215" s="1"/>
  <c r="B24" i="5"/>
  <c r="C39"/>
  <c r="M24" i="4"/>
  <c r="C41" i="5"/>
  <c r="D215" i="3"/>
  <c r="D191"/>
  <c r="D110" i="17"/>
  <c r="D110" i="16"/>
  <c r="D110" i="9"/>
  <c r="D109" i="6"/>
  <c r="D110" i="4"/>
  <c r="D172" i="3"/>
  <c r="D173" s="1"/>
  <c r="D189"/>
  <c r="D188"/>
  <c r="D162"/>
  <c r="D163" s="1"/>
  <c r="D164" s="1"/>
  <c r="D93" i="17" s="1"/>
  <c r="G115"/>
  <c r="B18" i="9"/>
  <c r="A18" s="1"/>
  <c r="F114" i="6"/>
  <c r="I95" i="3"/>
  <c r="B119" i="16"/>
  <c r="A119" s="1"/>
  <c r="D39" i="5"/>
  <c r="H18" i="12"/>
  <c r="H95" i="3"/>
  <c r="U78"/>
  <c r="B7"/>
  <c r="C118" i="17"/>
  <c r="A48" i="9"/>
  <c r="A49"/>
  <c r="F23" i="18"/>
  <c r="I54" i="13"/>
  <c r="B233" s="1"/>
  <c r="D233" s="1"/>
  <c r="I103"/>
  <c r="I97"/>
  <c r="C120" i="2"/>
  <c r="W51" i="3"/>
  <c r="X51" s="1"/>
  <c r="W59"/>
  <c r="X59" s="1"/>
  <c r="W67"/>
  <c r="X67" s="1"/>
  <c r="W75"/>
  <c r="X75" s="1"/>
  <c r="H11" i="18"/>
  <c r="H10"/>
  <c r="D115" i="13"/>
  <c r="U77" i="3"/>
  <c r="R77"/>
  <c r="W77"/>
  <c r="X77" s="1"/>
  <c r="B18" i="4"/>
  <c r="A18" s="1"/>
  <c r="D30" i="2"/>
  <c r="C30" s="1"/>
  <c r="G11" i="18"/>
  <c r="G10"/>
  <c r="C54" i="11"/>
  <c r="B204" s="1"/>
  <c r="D204" s="1"/>
  <c r="W58" i="3"/>
  <c r="X58" s="1"/>
  <c r="W78"/>
  <c r="X78" s="1"/>
  <c r="L50" i="4"/>
  <c r="A50" i="5"/>
  <c r="K50" i="4" s="1"/>
  <c r="E10" i="12"/>
  <c r="E11" s="1"/>
  <c r="AA52"/>
  <c r="AB52" s="1"/>
  <c r="S52"/>
  <c r="T52" s="1"/>
  <c r="P52"/>
  <c r="Q52" s="1"/>
  <c r="AC52"/>
  <c r="AD52" s="1"/>
  <c r="Y52"/>
  <c r="Z52" s="1"/>
  <c r="M52"/>
  <c r="V52"/>
  <c r="J52"/>
  <c r="K52" s="1"/>
  <c r="AA60"/>
  <c r="AB60" s="1"/>
  <c r="S60"/>
  <c r="T60" s="1"/>
  <c r="P60"/>
  <c r="Q60" s="1"/>
  <c r="AC60"/>
  <c r="AD60" s="1"/>
  <c r="Y60"/>
  <c r="Z60" s="1"/>
  <c r="M60"/>
  <c r="V60"/>
  <c r="J60"/>
  <c r="K60" s="1"/>
  <c r="AA68"/>
  <c r="AB68" s="1"/>
  <c r="S68"/>
  <c r="T68" s="1"/>
  <c r="P68"/>
  <c r="Q68" s="1"/>
  <c r="AC68"/>
  <c r="AD68" s="1"/>
  <c r="Y68"/>
  <c r="Z68" s="1"/>
  <c r="M68"/>
  <c r="V68"/>
  <c r="J68"/>
  <c r="K68" s="1"/>
  <c r="AC55"/>
  <c r="AD55" s="1"/>
  <c r="Y55"/>
  <c r="Z55" s="1"/>
  <c r="M55"/>
  <c r="V55"/>
  <c r="J55"/>
  <c r="K55" s="1"/>
  <c r="AA55"/>
  <c r="AB55" s="1"/>
  <c r="S55"/>
  <c r="T55" s="1"/>
  <c r="P55"/>
  <c r="Q55" s="1"/>
  <c r="AC63"/>
  <c r="AD63" s="1"/>
  <c r="Y63"/>
  <c r="Z63" s="1"/>
  <c r="M63"/>
  <c r="V63"/>
  <c r="J63"/>
  <c r="K63" s="1"/>
  <c r="AA63"/>
  <c r="AB63" s="1"/>
  <c r="S63"/>
  <c r="T63" s="1"/>
  <c r="P63"/>
  <c r="Q63" s="1"/>
  <c r="AC71"/>
  <c r="AD71" s="1"/>
  <c r="Y71"/>
  <c r="Z71" s="1"/>
  <c r="M71"/>
  <c r="V71"/>
  <c r="J71"/>
  <c r="K71" s="1"/>
  <c r="AA71"/>
  <c r="AB71" s="1"/>
  <c r="S71"/>
  <c r="T71" s="1"/>
  <c r="P71"/>
  <c r="Q71" s="1"/>
  <c r="B65" i="11"/>
  <c r="A65" s="1"/>
  <c r="U53" i="3"/>
  <c r="R53"/>
  <c r="U61"/>
  <c r="R61"/>
  <c r="U69"/>
  <c r="R69"/>
  <c r="D119" i="11"/>
  <c r="D112"/>
  <c r="D54"/>
  <c r="B209" s="1"/>
  <c r="D209" s="1"/>
  <c r="I34" i="18"/>
  <c r="I135" i="11" s="1"/>
  <c r="I19" i="17"/>
  <c r="I15"/>
  <c r="I19" i="16"/>
  <c r="I15"/>
  <c r="I34" i="12"/>
  <c r="I19" i="9"/>
  <c r="I15"/>
  <c r="I19" i="6"/>
  <c r="I15"/>
  <c r="I19" i="4"/>
  <c r="J36" i="2" s="1"/>
  <c r="I15" i="4"/>
  <c r="J38" i="2" s="1"/>
  <c r="J40" s="1"/>
  <c r="J22"/>
  <c r="E122"/>
  <c r="E121"/>
  <c r="C10" i="12"/>
  <c r="C11" s="1"/>
  <c r="E43"/>
  <c r="E40"/>
  <c r="E41" s="1"/>
  <c r="E42" s="1"/>
  <c r="B31" i="5"/>
  <c r="M31" i="4"/>
  <c r="U52" i="3"/>
  <c r="R52"/>
  <c r="U60"/>
  <c r="R60"/>
  <c r="U68"/>
  <c r="R68"/>
  <c r="B55" i="13"/>
  <c r="A55" s="1"/>
  <c r="C70"/>
  <c r="W66" i="3"/>
  <c r="X66" s="1"/>
  <c r="C54" i="17"/>
  <c r="C115" s="1"/>
  <c r="C54" i="16"/>
  <c r="C115" s="1"/>
  <c r="C54" i="9"/>
  <c r="C115" s="1"/>
  <c r="C54" i="4"/>
  <c r="C115" s="1"/>
  <c r="C54" i="6"/>
  <c r="C114" s="1"/>
  <c r="C208" i="3"/>
  <c r="A49" i="16"/>
  <c r="A48"/>
  <c r="D117" i="6"/>
  <c r="D86"/>
  <c r="D91"/>
  <c r="D75"/>
  <c r="F54" i="13"/>
  <c r="B218" s="1"/>
  <c r="D218" s="1"/>
  <c r="F103"/>
  <c r="F97"/>
  <c r="E17" i="18"/>
  <c r="E20" s="1"/>
  <c r="AA51"/>
  <c r="AB51" s="1"/>
  <c r="S51"/>
  <c r="T51" s="1"/>
  <c r="P51"/>
  <c r="Q51" s="1"/>
  <c r="AC51"/>
  <c r="AD51" s="1"/>
  <c r="Y51"/>
  <c r="Z51" s="1"/>
  <c r="M51"/>
  <c r="V51"/>
  <c r="J51"/>
  <c r="K51" s="1"/>
  <c r="AA59"/>
  <c r="AB59" s="1"/>
  <c r="S59"/>
  <c r="T59" s="1"/>
  <c r="P59"/>
  <c r="Q59" s="1"/>
  <c r="AC59"/>
  <c r="AD59" s="1"/>
  <c r="Y59"/>
  <c r="Z59" s="1"/>
  <c r="M59"/>
  <c r="V59"/>
  <c r="J59"/>
  <c r="K59" s="1"/>
  <c r="AA67"/>
  <c r="AB67" s="1"/>
  <c r="S67"/>
  <c r="T67" s="1"/>
  <c r="P67"/>
  <c r="Q67" s="1"/>
  <c r="AC67"/>
  <c r="AD67" s="1"/>
  <c r="Y67"/>
  <c r="Z67" s="1"/>
  <c r="M67"/>
  <c r="V67"/>
  <c r="J67"/>
  <c r="K67" s="1"/>
  <c r="AA75"/>
  <c r="AB75" s="1"/>
  <c r="S75"/>
  <c r="T75" s="1"/>
  <c r="P75"/>
  <c r="Q75" s="1"/>
  <c r="V75"/>
  <c r="J75"/>
  <c r="K75" s="1"/>
  <c r="Y75"/>
  <c r="Z75" s="1"/>
  <c r="M75"/>
  <c r="AC75"/>
  <c r="AD75" s="1"/>
  <c r="AC52"/>
  <c r="AD52" s="1"/>
  <c r="Y52"/>
  <c r="Z52" s="1"/>
  <c r="M52"/>
  <c r="V52"/>
  <c r="J52"/>
  <c r="K52" s="1"/>
  <c r="AA52"/>
  <c r="AB52" s="1"/>
  <c r="S52"/>
  <c r="T52" s="1"/>
  <c r="P52"/>
  <c r="Q52" s="1"/>
  <c r="AC60"/>
  <c r="AD60" s="1"/>
  <c r="Y60"/>
  <c r="Z60" s="1"/>
  <c r="M60"/>
  <c r="V60"/>
  <c r="J60"/>
  <c r="K60" s="1"/>
  <c r="AA60"/>
  <c r="AB60" s="1"/>
  <c r="S60"/>
  <c r="T60" s="1"/>
  <c r="P60"/>
  <c r="Q60" s="1"/>
  <c r="AC68"/>
  <c r="AD68" s="1"/>
  <c r="Y68"/>
  <c r="Z68" s="1"/>
  <c r="M68"/>
  <c r="V68"/>
  <c r="J68"/>
  <c r="K68" s="1"/>
  <c r="AA68"/>
  <c r="AB68" s="1"/>
  <c r="S68"/>
  <c r="T68" s="1"/>
  <c r="P68"/>
  <c r="Q68" s="1"/>
  <c r="C43"/>
  <c r="C40"/>
  <c r="C41" s="1"/>
  <c r="C42" s="1"/>
  <c r="C69" i="13"/>
  <c r="B60"/>
  <c r="A60" s="1"/>
  <c r="W55" i="3"/>
  <c r="X55" s="1"/>
  <c r="W63"/>
  <c r="X63" s="1"/>
  <c r="W71"/>
  <c r="X71" s="1"/>
  <c r="D100" i="18"/>
  <c r="I190"/>
  <c r="I62" i="17"/>
  <c r="I62" i="16"/>
  <c r="I190" i="12"/>
  <c r="I62" i="9"/>
  <c r="I62" i="6"/>
  <c r="J97" i="2"/>
  <c r="E10" i="21"/>
  <c r="E34" i="18"/>
  <c r="E19" i="17"/>
  <c r="E15"/>
  <c r="E19" i="16"/>
  <c r="E15"/>
  <c r="E34" i="12"/>
  <c r="E19" i="9"/>
  <c r="E15"/>
  <c r="E10" i="8"/>
  <c r="AI10" i="4" s="1"/>
  <c r="E19" i="6"/>
  <c r="E15"/>
  <c r="E19" i="4"/>
  <c r="E15"/>
  <c r="F22" i="2"/>
  <c r="C17" i="18"/>
  <c r="C20" s="1"/>
  <c r="E40"/>
  <c r="E41" s="1"/>
  <c r="E42" s="1"/>
  <c r="E43"/>
  <c r="G30" i="17"/>
  <c r="G31" s="1"/>
  <c r="G43"/>
  <c r="G44" s="1"/>
  <c r="G34"/>
  <c r="G35" s="1"/>
  <c r="G26"/>
  <c r="G27" s="1"/>
  <c r="G11"/>
  <c r="G10"/>
  <c r="G21"/>
  <c r="G22" s="1"/>
  <c r="G30" i="16"/>
  <c r="G31" s="1"/>
  <c r="G43"/>
  <c r="G44" s="1"/>
  <c r="G34"/>
  <c r="G35" s="1"/>
  <c r="G26"/>
  <c r="G27" s="1"/>
  <c r="G11"/>
  <c r="G10"/>
  <c r="G21"/>
  <c r="G22" s="1"/>
  <c r="G9" i="10"/>
  <c r="G43" i="9"/>
  <c r="G44" s="1"/>
  <c r="G34"/>
  <c r="G35" s="1"/>
  <c r="G26"/>
  <c r="G27" s="1"/>
  <c r="G11"/>
  <c r="G10"/>
  <c r="G21"/>
  <c r="G22" s="1"/>
  <c r="G30"/>
  <c r="G31" s="1"/>
  <c r="G43" i="4"/>
  <c r="G44" s="1"/>
  <c r="G34"/>
  <c r="G35" s="1"/>
  <c r="G26"/>
  <c r="G27" s="1"/>
  <c r="G21"/>
  <c r="G22" s="1"/>
  <c r="G43" i="6"/>
  <c r="G44" s="1"/>
  <c r="G34"/>
  <c r="G35" s="1"/>
  <c r="G26"/>
  <c r="G27" s="1"/>
  <c r="G11"/>
  <c r="G10"/>
  <c r="G10" i="4"/>
  <c r="G21" i="6"/>
  <c r="G22" s="1"/>
  <c r="G11" i="4"/>
  <c r="G30" i="6"/>
  <c r="G31" s="1"/>
  <c r="G30" i="4"/>
  <c r="G31" s="1"/>
  <c r="G96" i="3"/>
  <c r="G97" s="1"/>
  <c r="G110"/>
  <c r="G108"/>
  <c r="G114" s="1"/>
  <c r="F11" i="12"/>
  <c r="F10"/>
  <c r="M42" i="4"/>
  <c r="B42" i="5"/>
  <c r="B49"/>
  <c r="O49" i="4"/>
  <c r="AA77" i="18"/>
  <c r="AB77" s="1"/>
  <c r="S77"/>
  <c r="T77" s="1"/>
  <c r="P77"/>
  <c r="Q77" s="1"/>
  <c r="V77"/>
  <c r="J77"/>
  <c r="K77" s="1"/>
  <c r="Y77"/>
  <c r="Z77" s="1"/>
  <c r="AC77"/>
  <c r="AD77" s="1"/>
  <c r="M77"/>
  <c r="H10" i="12"/>
  <c r="H11"/>
  <c r="D135" i="11"/>
  <c r="G17" i="12"/>
  <c r="G30"/>
  <c r="G31" s="1"/>
  <c r="G32" s="1"/>
  <c r="G33" s="1"/>
  <c r="AG9" i="4"/>
  <c r="C54" i="13"/>
  <c r="B63" i="11"/>
  <c r="A63" s="1"/>
  <c r="H34" i="18"/>
  <c r="H19" i="17"/>
  <c r="H15"/>
  <c r="H19" i="16"/>
  <c r="H15"/>
  <c r="H34" i="12"/>
  <c r="H19" i="9"/>
  <c r="H15"/>
  <c r="H19" i="6"/>
  <c r="H15"/>
  <c r="H19" i="4"/>
  <c r="I36" i="2" s="1"/>
  <c r="H15" i="4"/>
  <c r="I38" i="2" s="1"/>
  <c r="I40" s="1"/>
  <c r="I22"/>
  <c r="U50" i="3"/>
  <c r="R50"/>
  <c r="G103" i="17"/>
  <c r="G97"/>
  <c r="G54"/>
  <c r="G103" i="16"/>
  <c r="G97"/>
  <c r="G54"/>
  <c r="G103" i="9"/>
  <c r="G97"/>
  <c r="G102" i="6"/>
  <c r="G96"/>
  <c r="G54" i="9"/>
  <c r="G103" i="4"/>
  <c r="G97"/>
  <c r="G54"/>
  <c r="G54" i="6"/>
  <c r="B18" i="13"/>
  <c r="A18" s="1"/>
  <c r="G16" i="18"/>
  <c r="I147"/>
  <c r="I115" i="4"/>
  <c r="I115" i="9"/>
  <c r="I115" i="17"/>
  <c r="G147" i="12"/>
  <c r="C115" i="13"/>
  <c r="E19" i="18"/>
  <c r="B213" i="13"/>
  <c r="D213" s="1"/>
  <c r="B59" i="16"/>
  <c r="A59" s="1"/>
  <c r="D70" i="13"/>
  <c r="G21" i="12"/>
  <c r="D113" i="18"/>
  <c r="C113"/>
  <c r="H115" i="4"/>
  <c r="H115" i="9"/>
  <c r="H115" i="17"/>
  <c r="AD79" i="3"/>
  <c r="AD83" s="1"/>
  <c r="R78"/>
  <c r="I97" i="17"/>
  <c r="I54"/>
  <c r="I103"/>
  <c r="I54" i="16"/>
  <c r="I103"/>
  <c r="I97"/>
  <c r="I103" i="9"/>
  <c r="I54"/>
  <c r="I97"/>
  <c r="I102" i="6"/>
  <c r="I96"/>
  <c r="I54"/>
  <c r="I103" i="4"/>
  <c r="I97"/>
  <c r="I54"/>
  <c r="A48" i="11"/>
  <c r="A49"/>
  <c r="F92" i="18"/>
  <c r="F100"/>
  <c r="F24"/>
  <c r="D103" i="13"/>
  <c r="D97"/>
  <c r="D54"/>
  <c r="U76" i="3"/>
  <c r="R76"/>
  <c r="A49" i="13"/>
  <c r="A48"/>
  <c r="D205" i="18"/>
  <c r="D210" s="1"/>
  <c r="AA50" i="12"/>
  <c r="AB50" s="1"/>
  <c r="S50"/>
  <c r="T50" s="1"/>
  <c r="P50"/>
  <c r="Q50" s="1"/>
  <c r="AC50"/>
  <c r="AD50" s="1"/>
  <c r="Y50"/>
  <c r="Z50" s="1"/>
  <c r="M50"/>
  <c r="V50"/>
  <c r="J50"/>
  <c r="K50" s="1"/>
  <c r="AA58"/>
  <c r="AB58" s="1"/>
  <c r="S58"/>
  <c r="T58" s="1"/>
  <c r="P58"/>
  <c r="Q58" s="1"/>
  <c r="AC58"/>
  <c r="AD58" s="1"/>
  <c r="Y58"/>
  <c r="Z58" s="1"/>
  <c r="M58"/>
  <c r="V58"/>
  <c r="J58"/>
  <c r="K58" s="1"/>
  <c r="AA66"/>
  <c r="AB66" s="1"/>
  <c r="S66"/>
  <c r="T66" s="1"/>
  <c r="P66"/>
  <c r="Q66" s="1"/>
  <c r="AC66"/>
  <c r="AD66" s="1"/>
  <c r="Y66"/>
  <c r="Z66" s="1"/>
  <c r="M66"/>
  <c r="V66"/>
  <c r="J66"/>
  <c r="K66" s="1"/>
  <c r="AA74"/>
  <c r="AB74" s="1"/>
  <c r="S74"/>
  <c r="T74" s="1"/>
  <c r="P74"/>
  <c r="Q74" s="1"/>
  <c r="AC74"/>
  <c r="AD74" s="1"/>
  <c r="Y74"/>
  <c r="Z74" s="1"/>
  <c r="M74"/>
  <c r="V74"/>
  <c r="J74"/>
  <c r="K74" s="1"/>
  <c r="AC53"/>
  <c r="AD53" s="1"/>
  <c r="Y53"/>
  <c r="Z53" s="1"/>
  <c r="M53"/>
  <c r="V53"/>
  <c r="J53"/>
  <c r="K53" s="1"/>
  <c r="AA53"/>
  <c r="AB53" s="1"/>
  <c r="S53"/>
  <c r="T53" s="1"/>
  <c r="P53"/>
  <c r="Q53" s="1"/>
  <c r="AC61"/>
  <c r="AD61" s="1"/>
  <c r="Y61"/>
  <c r="Z61" s="1"/>
  <c r="M61"/>
  <c r="V61"/>
  <c r="J61"/>
  <c r="K61" s="1"/>
  <c r="AA61"/>
  <c r="AB61" s="1"/>
  <c r="S61"/>
  <c r="T61" s="1"/>
  <c r="P61"/>
  <c r="Q61" s="1"/>
  <c r="AC69"/>
  <c r="AD69" s="1"/>
  <c r="Y69"/>
  <c r="Z69" s="1"/>
  <c r="M69"/>
  <c r="V69"/>
  <c r="J69"/>
  <c r="K69" s="1"/>
  <c r="AA69"/>
  <c r="AB69" s="1"/>
  <c r="S69"/>
  <c r="T69" s="1"/>
  <c r="P69"/>
  <c r="Q69" s="1"/>
  <c r="I54" i="11"/>
  <c r="I119"/>
  <c r="I112"/>
  <c r="F10" i="21"/>
  <c r="F34" i="18"/>
  <c r="F135" i="11" s="1"/>
  <c r="F19" i="17"/>
  <c r="F15"/>
  <c r="F19" i="16"/>
  <c r="F15"/>
  <c r="F34" i="12"/>
  <c r="F150" s="1"/>
  <c r="F151" s="1"/>
  <c r="F152" s="1"/>
  <c r="F159" s="1"/>
  <c r="F19" i="9"/>
  <c r="F15"/>
  <c r="F10" i="8"/>
  <c r="AJ10" i="4" s="1"/>
  <c r="F19" i="6"/>
  <c r="F15"/>
  <c r="F19" i="4"/>
  <c r="G36" i="2" s="1"/>
  <c r="F15" i="4"/>
  <c r="G38" i="2" s="1"/>
  <c r="G40" s="1"/>
  <c r="G22"/>
  <c r="A37" i="5"/>
  <c r="K37" i="4" s="1"/>
  <c r="L37"/>
  <c r="F103" i="17"/>
  <c r="F97"/>
  <c r="F54"/>
  <c r="F103" i="16"/>
  <c r="F97"/>
  <c r="F54"/>
  <c r="F103" i="9"/>
  <c r="F97"/>
  <c r="F102" i="6"/>
  <c r="F96"/>
  <c r="F54" i="9"/>
  <c r="F103" i="4"/>
  <c r="F97"/>
  <c r="F54"/>
  <c r="F54" i="6"/>
  <c r="F208" i="3"/>
  <c r="A25" i="5"/>
  <c r="K25" i="4" s="1"/>
  <c r="L25"/>
  <c r="F43" i="17"/>
  <c r="F44" s="1"/>
  <c r="F34"/>
  <c r="F35" s="1"/>
  <c r="F26"/>
  <c r="F27" s="1"/>
  <c r="F11"/>
  <c r="F10"/>
  <c r="F21"/>
  <c r="F22" s="1"/>
  <c r="F30"/>
  <c r="F31" s="1"/>
  <c r="F43" i="16"/>
  <c r="F44" s="1"/>
  <c r="F34"/>
  <c r="F35" s="1"/>
  <c r="F26"/>
  <c r="F27" s="1"/>
  <c r="F11"/>
  <c r="F10"/>
  <c r="F21"/>
  <c r="F22" s="1"/>
  <c r="F30"/>
  <c r="F31" s="1"/>
  <c r="F9" i="10"/>
  <c r="F43" i="9"/>
  <c r="F44" s="1"/>
  <c r="F34"/>
  <c r="F35" s="1"/>
  <c r="F26"/>
  <c r="F27" s="1"/>
  <c r="F11"/>
  <c r="F10"/>
  <c r="F21"/>
  <c r="F22" s="1"/>
  <c r="F30"/>
  <c r="F31" s="1"/>
  <c r="F43" i="6"/>
  <c r="F44" s="1"/>
  <c r="F34"/>
  <c r="F35" s="1"/>
  <c r="F26"/>
  <c r="F27" s="1"/>
  <c r="F11"/>
  <c r="F10"/>
  <c r="F10" i="4"/>
  <c r="F21" i="6"/>
  <c r="F22" s="1"/>
  <c r="F11" i="4"/>
  <c r="F30" i="6"/>
  <c r="F31" s="1"/>
  <c r="F30" i="4"/>
  <c r="F31" s="1"/>
  <c r="F43"/>
  <c r="F44" s="1"/>
  <c r="F34"/>
  <c r="F35" s="1"/>
  <c r="F26"/>
  <c r="F27" s="1"/>
  <c r="F21"/>
  <c r="F22" s="1"/>
  <c r="F96" i="3"/>
  <c r="F110"/>
  <c r="F108"/>
  <c r="F114" s="1"/>
  <c r="E24" i="18"/>
  <c r="V74"/>
  <c r="J74"/>
  <c r="K74" s="1"/>
  <c r="P74"/>
  <c r="Q74" s="1"/>
  <c r="AC74"/>
  <c r="AD74" s="1"/>
  <c r="M74"/>
  <c r="Y74"/>
  <c r="Z74" s="1"/>
  <c r="AA74"/>
  <c r="AB74" s="1"/>
  <c r="S74"/>
  <c r="T74" s="1"/>
  <c r="AA57"/>
  <c r="AB57" s="1"/>
  <c r="S57"/>
  <c r="T57" s="1"/>
  <c r="P57"/>
  <c r="Q57" s="1"/>
  <c r="AC57"/>
  <c r="AD57" s="1"/>
  <c r="Y57"/>
  <c r="Z57" s="1"/>
  <c r="M57"/>
  <c r="V57"/>
  <c r="J57"/>
  <c r="K57" s="1"/>
  <c r="AA65"/>
  <c r="AB65" s="1"/>
  <c r="S65"/>
  <c r="T65" s="1"/>
  <c r="P65"/>
  <c r="Q65" s="1"/>
  <c r="AC65"/>
  <c r="AD65" s="1"/>
  <c r="Y65"/>
  <c r="Z65" s="1"/>
  <c r="M65"/>
  <c r="V65"/>
  <c r="J65"/>
  <c r="K65" s="1"/>
  <c r="V73"/>
  <c r="AA73"/>
  <c r="AB73" s="1"/>
  <c r="P73"/>
  <c r="Q73" s="1"/>
  <c r="AC73"/>
  <c r="AD73" s="1"/>
  <c r="S73"/>
  <c r="T73" s="1"/>
  <c r="M73"/>
  <c r="Y73"/>
  <c r="Z73" s="1"/>
  <c r="J73"/>
  <c r="K73" s="1"/>
  <c r="AC50"/>
  <c r="AD50" s="1"/>
  <c r="Y50"/>
  <c r="Z50" s="1"/>
  <c r="M50"/>
  <c r="V50"/>
  <c r="J50"/>
  <c r="K50" s="1"/>
  <c r="AA50"/>
  <c r="AB50" s="1"/>
  <c r="S50"/>
  <c r="T50" s="1"/>
  <c r="P50"/>
  <c r="Q50" s="1"/>
  <c r="AC58"/>
  <c r="AD58" s="1"/>
  <c r="Y58"/>
  <c r="Z58" s="1"/>
  <c r="M58"/>
  <c r="V58"/>
  <c r="J58"/>
  <c r="K58" s="1"/>
  <c r="AA58"/>
  <c r="AB58" s="1"/>
  <c r="S58"/>
  <c r="T58" s="1"/>
  <c r="P58"/>
  <c r="Q58" s="1"/>
  <c r="AC66"/>
  <c r="AD66" s="1"/>
  <c r="Y66"/>
  <c r="Z66" s="1"/>
  <c r="M66"/>
  <c r="V66"/>
  <c r="J66"/>
  <c r="K66" s="1"/>
  <c r="AA66"/>
  <c r="AB66" s="1"/>
  <c r="S66"/>
  <c r="T66" s="1"/>
  <c r="P66"/>
  <c r="Q66" s="1"/>
  <c r="I30"/>
  <c r="I31" s="1"/>
  <c r="I32" s="1"/>
  <c r="I33" s="1"/>
  <c r="I113" s="1"/>
  <c r="I17"/>
  <c r="D10"/>
  <c r="D11" s="1"/>
  <c r="H103" i="13"/>
  <c r="H97"/>
  <c r="H54"/>
  <c r="B228" s="1"/>
  <c r="D228" s="1"/>
  <c r="E190" i="18"/>
  <c r="E62" i="17"/>
  <c r="E62" i="16"/>
  <c r="E190" i="12"/>
  <c r="E62" i="9"/>
  <c r="E62" i="6"/>
  <c r="B192" i="3"/>
  <c r="F97" i="2"/>
  <c r="C10" i="18"/>
  <c r="C11" s="1"/>
  <c r="D111" i="3"/>
  <c r="U54"/>
  <c r="R54"/>
  <c r="U62"/>
  <c r="R62"/>
  <c r="U70"/>
  <c r="R70"/>
  <c r="W74"/>
  <c r="X74" s="1"/>
  <c r="C22"/>
  <c r="C23"/>
  <c r="K57" s="1"/>
  <c r="I23"/>
  <c r="I25" s="1"/>
  <c r="I22"/>
  <c r="I9" i="9" s="1"/>
  <c r="F112" i="11"/>
  <c r="F54"/>
  <c r="B265" s="1"/>
  <c r="D265" s="1"/>
  <c r="F119"/>
  <c r="W49" i="3"/>
  <c r="X49" s="1"/>
  <c r="W57"/>
  <c r="X57" s="1"/>
  <c r="W65"/>
  <c r="X65" s="1"/>
  <c r="W73"/>
  <c r="X73" s="1"/>
  <c r="AC77" i="12"/>
  <c r="AD77" s="1"/>
  <c r="Y77"/>
  <c r="Z77" s="1"/>
  <c r="M77"/>
  <c r="AA76"/>
  <c r="AB76" s="1"/>
  <c r="S76"/>
  <c r="T76" s="1"/>
  <c r="V77"/>
  <c r="J77"/>
  <c r="K77" s="1"/>
  <c r="P76"/>
  <c r="Q76" s="1"/>
  <c r="AA77"/>
  <c r="AB77" s="1"/>
  <c r="S77"/>
  <c r="T77" s="1"/>
  <c r="AC76"/>
  <c r="AD76" s="1"/>
  <c r="Y76"/>
  <c r="Z76" s="1"/>
  <c r="M76"/>
  <c r="P77"/>
  <c r="Q77" s="1"/>
  <c r="V76"/>
  <c r="J76"/>
  <c r="K76" s="1"/>
  <c r="G11"/>
  <c r="G10"/>
  <c r="H26" i="3"/>
  <c r="H25"/>
  <c r="AB79"/>
  <c r="AB84" s="1"/>
  <c r="Z79"/>
  <c r="U48"/>
  <c r="R48"/>
  <c r="U56"/>
  <c r="R56"/>
  <c r="U64"/>
  <c r="R64"/>
  <c r="U72"/>
  <c r="R72"/>
  <c r="D26"/>
  <c r="B194" i="17"/>
  <c r="D194" s="1"/>
  <c r="D195" s="1"/>
  <c r="D116" s="1"/>
  <c r="G114" i="6"/>
  <c r="B59" i="13"/>
  <c r="A59" s="1"/>
  <c r="K51" i="3"/>
  <c r="N51" s="1"/>
  <c r="O51" s="1"/>
  <c r="K59"/>
  <c r="N59" s="1"/>
  <c r="O59" s="1"/>
  <c r="K67"/>
  <c r="N67" s="1"/>
  <c r="O67" s="1"/>
  <c r="K77"/>
  <c r="N77" s="1"/>
  <c r="O77" s="1"/>
  <c r="B18" i="6"/>
  <c r="A18" s="1"/>
  <c r="B18" i="17"/>
  <c r="A18" s="1"/>
  <c r="K58" i="3"/>
  <c r="N58" s="1"/>
  <c r="O58" s="1"/>
  <c r="I21" i="12"/>
  <c r="B18" i="11"/>
  <c r="A18" s="1"/>
  <c r="F115" i="4"/>
  <c r="F115" i="9"/>
  <c r="B118" i="6"/>
  <c r="A118" s="1"/>
  <c r="B28" i="21"/>
  <c r="K66" i="3"/>
  <c r="N66" s="1"/>
  <c r="O66" s="1"/>
  <c r="F147" i="12"/>
  <c r="K55" i="3"/>
  <c r="N55" s="1"/>
  <c r="O55" s="1"/>
  <c r="K63"/>
  <c r="N63" s="1"/>
  <c r="O63" s="1"/>
  <c r="D113" i="12"/>
  <c r="C70" i="16"/>
  <c r="F16" i="12"/>
  <c r="G18"/>
  <c r="H113" i="18"/>
  <c r="E21" l="1"/>
  <c r="D25" i="3"/>
  <c r="C93" i="12"/>
  <c r="C16" i="13" s="1"/>
  <c r="C93" i="18"/>
  <c r="C16" i="11" s="1"/>
  <c r="C16" i="17"/>
  <c r="C16" i="4"/>
  <c r="C16" i="16"/>
  <c r="C16" i="9"/>
  <c r="C16" i="6"/>
  <c r="C135" i="11"/>
  <c r="D9" i="16"/>
  <c r="D9" i="4"/>
  <c r="B223" i="6"/>
  <c r="D223" s="1"/>
  <c r="D224" s="1"/>
  <c r="D115" s="1"/>
  <c r="B194" i="4"/>
  <c r="D194" s="1"/>
  <c r="D195" s="1"/>
  <c r="D116" s="1"/>
  <c r="H92" i="18"/>
  <c r="E97" i="16"/>
  <c r="E102" i="6"/>
  <c r="E97" i="4"/>
  <c r="D9" i="6"/>
  <c r="D8" i="10"/>
  <c r="F97" i="3"/>
  <c r="D95"/>
  <c r="D9" i="9"/>
  <c r="D110" i="3"/>
  <c r="D7" i="5"/>
  <c r="N7" i="4" s="1"/>
  <c r="F25" i="3"/>
  <c r="C24" i="12"/>
  <c r="D207" i="18"/>
  <c r="D208" s="1"/>
  <c r="D209" s="1"/>
  <c r="D207" i="12"/>
  <c r="D208" s="1"/>
  <c r="D209" s="1"/>
  <c r="E135" i="11"/>
  <c r="D210" i="12"/>
  <c r="D100"/>
  <c r="B194" i="16"/>
  <c r="D194" s="1"/>
  <c r="D195" s="1"/>
  <c r="D116" s="1"/>
  <c r="B194" i="9"/>
  <c r="D194" s="1"/>
  <c r="D195" s="1"/>
  <c r="D116" s="1"/>
  <c r="E100" i="18"/>
  <c r="E19" i="11" s="1"/>
  <c r="D213" i="3"/>
  <c r="D87" i="6" s="1"/>
  <c r="H45" i="4"/>
  <c r="H46" s="1"/>
  <c r="I52" i="2" s="1"/>
  <c r="D24" i="12"/>
  <c r="B932" i="3"/>
  <c r="B948"/>
  <c r="B964"/>
  <c r="S76" i="18"/>
  <c r="T76" s="1"/>
  <c r="D168" i="6"/>
  <c r="X6" i="4" s="1"/>
  <c r="G92" i="18"/>
  <c r="G15" i="11" s="1"/>
  <c r="B250"/>
  <c r="D250" s="1"/>
  <c r="E150" i="12"/>
  <c r="E151" s="1"/>
  <c r="E152" s="1"/>
  <c r="E159" s="1"/>
  <c r="E160" s="1"/>
  <c r="E54" i="4"/>
  <c r="B54" s="1"/>
  <c r="E96" i="6"/>
  <c r="E97" i="9"/>
  <c r="E97" i="17"/>
  <c r="G135" i="11"/>
  <c r="K18" i="18"/>
  <c r="G100"/>
  <c r="B940" i="3"/>
  <c r="B956"/>
  <c r="B972"/>
  <c r="E208"/>
  <c r="E54" i="6"/>
  <c r="B54" s="1"/>
  <c r="E54" i="9"/>
  <c r="B54" s="1"/>
  <c r="E54" i="16"/>
  <c r="B198" s="1"/>
  <c r="D198" s="1"/>
  <c r="D24" i="18"/>
  <c r="B772" i="3"/>
  <c r="E103" i="4"/>
  <c r="E103" i="9"/>
  <c r="E103" i="16"/>
  <c r="E24" i="12"/>
  <c r="E92"/>
  <c r="B243" i="6"/>
  <c r="D243" s="1"/>
  <c r="D244" s="1"/>
  <c r="H115" s="1"/>
  <c r="G23" i="18"/>
  <c r="G28" s="1"/>
  <c r="G29" s="1"/>
  <c r="I95" i="12"/>
  <c r="I150"/>
  <c r="I151" s="1"/>
  <c r="I152" s="1"/>
  <c r="I159" s="1"/>
  <c r="I160" s="1"/>
  <c r="I24"/>
  <c r="H27" i="3"/>
  <c r="H28" s="1"/>
  <c r="H29" s="1"/>
  <c r="H97"/>
  <c r="H32" i="4"/>
  <c r="H33" s="1"/>
  <c r="I50" i="2" s="1"/>
  <c r="B214" i="16"/>
  <c r="D214" s="1"/>
  <c r="D215" s="1"/>
  <c r="H116" s="1"/>
  <c r="B214" i="17"/>
  <c r="D214" s="1"/>
  <c r="D215" s="1"/>
  <c r="H116" s="1"/>
  <c r="C44" i="18"/>
  <c r="C45" s="1"/>
  <c r="I97" i="3"/>
  <c r="B693"/>
  <c r="B709"/>
  <c r="B753"/>
  <c r="B788"/>
  <c r="B804"/>
  <c r="B820"/>
  <c r="B836"/>
  <c r="B852"/>
  <c r="B868"/>
  <c r="N65" i="18"/>
  <c r="O65" s="1"/>
  <c r="N57"/>
  <c r="O57" s="1"/>
  <c r="B848" i="3"/>
  <c r="B864"/>
  <c r="B936"/>
  <c r="B952"/>
  <c r="B968"/>
  <c r="B270" i="11"/>
  <c r="D270" s="1"/>
  <c r="F113" i="18"/>
  <c r="G9" i="11"/>
  <c r="D44" i="12"/>
  <c r="D45" s="1"/>
  <c r="D44" i="18"/>
  <c r="D45" s="1"/>
  <c r="B689" i="3"/>
  <c r="B705"/>
  <c r="B730"/>
  <c r="B757"/>
  <c r="B784"/>
  <c r="B800"/>
  <c r="B816"/>
  <c r="B832"/>
  <c r="E25"/>
  <c r="E26"/>
  <c r="N77" i="18"/>
  <c r="O77" s="1"/>
  <c r="G45" i="4"/>
  <c r="G46" s="1"/>
  <c r="H52" i="2" s="1"/>
  <c r="G95" i="18"/>
  <c r="H116" i="9"/>
  <c r="B255" i="11"/>
  <c r="D255" s="1"/>
  <c r="P76" i="18"/>
  <c r="Q76" s="1"/>
  <c r="V76"/>
  <c r="AC76"/>
  <c r="AD76" s="1"/>
  <c r="B685" i="3"/>
  <c r="B701"/>
  <c r="B752"/>
  <c r="B761"/>
  <c r="B768"/>
  <c r="B780"/>
  <c r="B796"/>
  <c r="B812"/>
  <c r="B828"/>
  <c r="B844"/>
  <c r="B860"/>
  <c r="AA76" i="18"/>
  <c r="AB76" s="1"/>
  <c r="J76"/>
  <c r="K76" s="1"/>
  <c r="N76" s="1"/>
  <c r="Y76"/>
  <c r="Z76" s="1"/>
  <c r="E44" i="12"/>
  <c r="E45" s="1"/>
  <c r="B776" i="3"/>
  <c r="B792"/>
  <c r="B808"/>
  <c r="B824"/>
  <c r="B840"/>
  <c r="B856"/>
  <c r="B872"/>
  <c r="B928"/>
  <c r="B944"/>
  <c r="B960"/>
  <c r="I23" i="4"/>
  <c r="I24" s="1"/>
  <c r="J48" i="2" s="1"/>
  <c r="G32" i="4"/>
  <c r="G33" s="1"/>
  <c r="H50" i="2" s="1"/>
  <c r="D190" i="3"/>
  <c r="D120" i="9" s="1"/>
  <c r="N63" i="18"/>
  <c r="O63" s="1"/>
  <c r="N55"/>
  <c r="O55" s="1"/>
  <c r="N73"/>
  <c r="O73" s="1"/>
  <c r="N67"/>
  <c r="O67" s="1"/>
  <c r="N59"/>
  <c r="O59" s="1"/>
  <c r="N51"/>
  <c r="O51" s="1"/>
  <c r="N49"/>
  <c r="O49" s="1"/>
  <c r="H114" i="3"/>
  <c r="H38" i="17" s="1"/>
  <c r="H39" s="1"/>
  <c r="C44" i="12"/>
  <c r="C45" s="1"/>
  <c r="B697" i="3"/>
  <c r="N73" i="12"/>
  <c r="O73" s="1"/>
  <c r="N65"/>
  <c r="O65" s="1"/>
  <c r="N57"/>
  <c r="O57" s="1"/>
  <c r="N49"/>
  <c r="O49" s="1"/>
  <c r="N72" i="18"/>
  <c r="O72" s="1"/>
  <c r="N64"/>
  <c r="O64" s="1"/>
  <c r="N56"/>
  <c r="O56" s="1"/>
  <c r="E21" i="12"/>
  <c r="E22" s="1"/>
  <c r="E9" i="13" s="1"/>
  <c r="N76" i="12"/>
  <c r="O76" s="1"/>
  <c r="B219" i="11"/>
  <c r="D219" s="1"/>
  <c r="N74" i="18"/>
  <c r="O74" s="1"/>
  <c r="N57" i="3"/>
  <c r="O57" s="1"/>
  <c r="L57"/>
  <c r="F160" i="12"/>
  <c r="X79" i="3"/>
  <c r="X90" s="1"/>
  <c r="Z86"/>
  <c r="W58" i="18"/>
  <c r="X58" s="1"/>
  <c r="L58"/>
  <c r="F205"/>
  <c r="F210" s="1"/>
  <c r="F210" i="12"/>
  <c r="F213" i="3"/>
  <c r="F210"/>
  <c r="W74" i="12"/>
  <c r="X74" s="1"/>
  <c r="L74"/>
  <c r="W66"/>
  <c r="X66" s="1"/>
  <c r="L66"/>
  <c r="W58"/>
  <c r="X58" s="1"/>
  <c r="L58"/>
  <c r="W50"/>
  <c r="X50" s="1"/>
  <c r="L50"/>
  <c r="B219" i="4"/>
  <c r="D219" s="1"/>
  <c r="B218"/>
  <c r="D218" s="1"/>
  <c r="D118" i="13"/>
  <c r="D76"/>
  <c r="D87"/>
  <c r="D92"/>
  <c r="B238" i="6"/>
  <c r="D238" s="1"/>
  <c r="B237"/>
  <c r="D237" s="1"/>
  <c r="B209" i="9"/>
  <c r="D209" s="1"/>
  <c r="B208"/>
  <c r="D208" s="1"/>
  <c r="B209" i="17"/>
  <c r="D209" s="1"/>
  <c r="B208"/>
  <c r="D208" s="1"/>
  <c r="W77" i="18"/>
  <c r="X77" s="1"/>
  <c r="L77"/>
  <c r="L49" i="4"/>
  <c r="A49" i="5"/>
  <c r="K49" i="4" s="1"/>
  <c r="G9" i="21"/>
  <c r="G9" i="8"/>
  <c r="G179" i="4"/>
  <c r="G169"/>
  <c r="G168"/>
  <c r="G132"/>
  <c r="G169" i="9"/>
  <c r="G168"/>
  <c r="G132"/>
  <c r="G179"/>
  <c r="F38" i="2"/>
  <c r="B15" i="4"/>
  <c r="A15" s="1"/>
  <c r="E150" i="18"/>
  <c r="E151" s="1"/>
  <c r="E152" s="1"/>
  <c r="E159" s="1"/>
  <c r="E15" i="11"/>
  <c r="I62" i="4"/>
  <c r="W68" i="18"/>
  <c r="X68" s="1"/>
  <c r="L68"/>
  <c r="W60"/>
  <c r="X60" s="1"/>
  <c r="L60"/>
  <c r="W52"/>
  <c r="X52" s="1"/>
  <c r="L52"/>
  <c r="B188" i="4"/>
  <c r="D188" s="1"/>
  <c r="B54" i="16"/>
  <c r="B188"/>
  <c r="D188" s="1"/>
  <c r="C118" i="13"/>
  <c r="A31" i="5"/>
  <c r="K31" i="4" s="1"/>
  <c r="L31"/>
  <c r="W68" i="12"/>
  <c r="X68" s="1"/>
  <c r="L68"/>
  <c r="W60"/>
  <c r="X60" s="1"/>
  <c r="L60"/>
  <c r="W52"/>
  <c r="X52" s="1"/>
  <c r="L52"/>
  <c r="B234" i="13"/>
  <c r="D234" s="1"/>
  <c r="D235" s="1"/>
  <c r="D120" i="17"/>
  <c r="M39" i="4"/>
  <c r="B276" i="11"/>
  <c r="D276" s="1"/>
  <c r="B230"/>
  <c r="D230" s="1"/>
  <c r="H166" i="6"/>
  <c r="I38" i="17"/>
  <c r="I39" s="1"/>
  <c r="I41"/>
  <c r="I42" s="1"/>
  <c r="I38" i="16"/>
  <c r="I39" s="1"/>
  <c r="I41"/>
  <c r="I42" s="1"/>
  <c r="I38" i="9"/>
  <c r="I39" s="1"/>
  <c r="I41"/>
  <c r="I42" s="1"/>
  <c r="I38" i="6"/>
  <c r="I39" s="1"/>
  <c r="I41" i="4"/>
  <c r="I42" s="1"/>
  <c r="I38"/>
  <c r="I39" s="1"/>
  <c r="I41" i="6"/>
  <c r="I42" s="1"/>
  <c r="I179" i="9"/>
  <c r="I169"/>
  <c r="I168"/>
  <c r="I132"/>
  <c r="W70" i="18"/>
  <c r="X70" s="1"/>
  <c r="L70"/>
  <c r="W62"/>
  <c r="X62" s="1"/>
  <c r="L62"/>
  <c r="W54"/>
  <c r="X54" s="1"/>
  <c r="L54"/>
  <c r="G111" i="3"/>
  <c r="G112" s="1"/>
  <c r="D9" i="13"/>
  <c r="D201" i="12"/>
  <c r="D110"/>
  <c r="D95"/>
  <c r="F62" i="4"/>
  <c r="F62" i="13"/>
  <c r="U73" i="12"/>
  <c r="R73"/>
  <c r="U65"/>
  <c r="R65"/>
  <c r="U57"/>
  <c r="R57"/>
  <c r="U49"/>
  <c r="R49"/>
  <c r="G110" i="18"/>
  <c r="G108"/>
  <c r="G114" s="1"/>
  <c r="G96"/>
  <c r="G43" i="11"/>
  <c r="G44" s="1"/>
  <c r="G34"/>
  <c r="G35" s="1"/>
  <c r="G26"/>
  <c r="G27" s="1"/>
  <c r="G11"/>
  <c r="G10"/>
  <c r="G21"/>
  <c r="G22" s="1"/>
  <c r="G30"/>
  <c r="G31" s="1"/>
  <c r="I161" i="3"/>
  <c r="I149" s="1"/>
  <c r="G161"/>
  <c r="G149" s="1"/>
  <c r="H8" i="7"/>
  <c r="I23" i="2"/>
  <c r="I41" s="1"/>
  <c r="I147" s="1"/>
  <c r="U72" i="18"/>
  <c r="R72"/>
  <c r="U64"/>
  <c r="R64"/>
  <c r="U56"/>
  <c r="R56"/>
  <c r="L48"/>
  <c r="W48"/>
  <c r="X48" s="1"/>
  <c r="U48"/>
  <c r="R48"/>
  <c r="C113" i="2"/>
  <c r="D117"/>
  <c r="B224" i="13"/>
  <c r="D224" s="1"/>
  <c r="D225" s="1"/>
  <c r="W75" i="12"/>
  <c r="X75" s="1"/>
  <c r="L75"/>
  <c r="W67"/>
  <c r="X67" s="1"/>
  <c r="L67"/>
  <c r="W59"/>
  <c r="X59" s="1"/>
  <c r="L59"/>
  <c r="W51"/>
  <c r="X51" s="1"/>
  <c r="L51"/>
  <c r="N48"/>
  <c r="O48" s="1"/>
  <c r="G67" i="11"/>
  <c r="B199" i="17"/>
  <c r="D199" s="1"/>
  <c r="B198"/>
  <c r="D198" s="1"/>
  <c r="C9" i="13"/>
  <c r="C201" i="12"/>
  <c r="H116" i="4"/>
  <c r="K62" i="3"/>
  <c r="B15" i="16"/>
  <c r="A15" s="1"/>
  <c r="L63" i="3"/>
  <c r="L58"/>
  <c r="L59"/>
  <c r="K52"/>
  <c r="K69"/>
  <c r="D93" i="4"/>
  <c r="D76" i="6"/>
  <c r="D77" i="4"/>
  <c r="D77" i="9"/>
  <c r="D98" i="6"/>
  <c r="D93" i="9"/>
  <c r="D105" i="16"/>
  <c r="D77"/>
  <c r="D83" i="17"/>
  <c r="F95" i="12"/>
  <c r="B692" i="3"/>
  <c r="B708"/>
  <c r="B740"/>
  <c r="B748"/>
  <c r="B758"/>
  <c r="B683"/>
  <c r="B684"/>
  <c r="B695"/>
  <c r="B759"/>
  <c r="B686"/>
  <c r="B702"/>
  <c r="B712"/>
  <c r="B716"/>
  <c r="B720"/>
  <c r="B724"/>
  <c r="B728"/>
  <c r="B737"/>
  <c r="B745"/>
  <c r="B756"/>
  <c r="B763"/>
  <c r="B779"/>
  <c r="B795"/>
  <c r="B811"/>
  <c r="B827"/>
  <c r="B843"/>
  <c r="B859"/>
  <c r="B875"/>
  <c r="B879"/>
  <c r="B883"/>
  <c r="B887"/>
  <c r="B891"/>
  <c r="B895"/>
  <c r="B899"/>
  <c r="B903"/>
  <c r="B907"/>
  <c r="B911"/>
  <c r="B915"/>
  <c r="B919"/>
  <c r="B923"/>
  <c r="B933"/>
  <c r="B949"/>
  <c r="B965"/>
  <c r="B976"/>
  <c r="B774"/>
  <c r="B790"/>
  <c r="B806"/>
  <c r="B822"/>
  <c r="B838"/>
  <c r="B854"/>
  <c r="B870"/>
  <c r="B930"/>
  <c r="B946"/>
  <c r="B962"/>
  <c r="B769"/>
  <c r="B785"/>
  <c r="B801"/>
  <c r="B817"/>
  <c r="B833"/>
  <c r="B849"/>
  <c r="B865"/>
  <c r="B927"/>
  <c r="B943"/>
  <c r="B959"/>
  <c r="B975"/>
  <c r="N69" i="18"/>
  <c r="O69" s="1"/>
  <c r="N61"/>
  <c r="O61" s="1"/>
  <c r="N53"/>
  <c r="O53" s="1"/>
  <c r="N70" i="12"/>
  <c r="O70" s="1"/>
  <c r="N62"/>
  <c r="O62" s="1"/>
  <c r="N54"/>
  <c r="O54" s="1"/>
  <c r="G9" i="4"/>
  <c r="G9" i="17"/>
  <c r="I9" i="6"/>
  <c r="I9" i="17"/>
  <c r="K49" i="3"/>
  <c r="K74"/>
  <c r="K76"/>
  <c r="I32" i="4"/>
  <c r="I33" s="1"/>
  <c r="J50" i="2" s="1"/>
  <c r="B275" i="11"/>
  <c r="D275" s="1"/>
  <c r="N72" i="12"/>
  <c r="O72" s="1"/>
  <c r="N64"/>
  <c r="O64" s="1"/>
  <c r="N56"/>
  <c r="O56" s="1"/>
  <c r="G26" i="3"/>
  <c r="B7" i="12"/>
  <c r="W77"/>
  <c r="X77" s="1"/>
  <c r="L77"/>
  <c r="E110" i="17"/>
  <c r="E110" i="16"/>
  <c r="E110" i="9"/>
  <c r="E109" i="6"/>
  <c r="E110" i="4"/>
  <c r="E189" i="3"/>
  <c r="E188"/>
  <c r="E172"/>
  <c r="E173" s="1"/>
  <c r="B62" i="9"/>
  <c r="A62" s="1"/>
  <c r="E67" i="11"/>
  <c r="W66" i="18"/>
  <c r="X66" s="1"/>
  <c r="L66"/>
  <c r="W50"/>
  <c r="X50" s="1"/>
  <c r="L50"/>
  <c r="F8" i="7"/>
  <c r="G23" i="2"/>
  <c r="G41" s="1"/>
  <c r="G147" s="1"/>
  <c r="I23" i="12"/>
  <c r="I22"/>
  <c r="I9" i="13" s="1"/>
  <c r="U76" i="12"/>
  <c r="R76"/>
  <c r="W76"/>
  <c r="X76" s="1"/>
  <c r="L76"/>
  <c r="C9" i="17"/>
  <c r="C9" i="16"/>
  <c r="C9" i="9"/>
  <c r="C8" i="10"/>
  <c r="C9" i="4"/>
  <c r="C9" i="6"/>
  <c r="C7" i="5"/>
  <c r="M7" i="4" s="1"/>
  <c r="E62"/>
  <c r="C97" i="2"/>
  <c r="A156" s="1"/>
  <c r="E166" i="6"/>
  <c r="B62"/>
  <c r="A62" s="1"/>
  <c r="B62" i="17"/>
  <c r="A62" s="1"/>
  <c r="I108" i="18"/>
  <c r="I114" s="1"/>
  <c r="I96"/>
  <c r="I110"/>
  <c r="I21" i="11"/>
  <c r="I22" s="1"/>
  <c r="I30"/>
  <c r="I31" s="1"/>
  <c r="I34"/>
  <c r="I35" s="1"/>
  <c r="I43"/>
  <c r="I44" s="1"/>
  <c r="I26"/>
  <c r="I27" s="1"/>
  <c r="I11"/>
  <c r="I10"/>
  <c r="U65" i="18"/>
  <c r="R65"/>
  <c r="U57"/>
  <c r="R57"/>
  <c r="F41" i="17"/>
  <c r="F42" s="1"/>
  <c r="F38"/>
  <c r="F39" s="1"/>
  <c r="F41" i="16"/>
  <c r="F42" s="1"/>
  <c r="F38"/>
  <c r="F39" s="1"/>
  <c r="F38" i="9"/>
  <c r="F39" s="1"/>
  <c r="F41"/>
  <c r="F42" s="1"/>
  <c r="F38" i="6"/>
  <c r="F39" s="1"/>
  <c r="F41" i="4"/>
  <c r="F42" s="1"/>
  <c r="F38"/>
  <c r="F39" s="1"/>
  <c r="F41" i="6"/>
  <c r="F42" s="1"/>
  <c r="F131"/>
  <c r="W69" i="12"/>
  <c r="X69" s="1"/>
  <c r="L69"/>
  <c r="W61"/>
  <c r="X61" s="1"/>
  <c r="L61"/>
  <c r="W53"/>
  <c r="X53" s="1"/>
  <c r="L53"/>
  <c r="B248" i="6"/>
  <c r="D248" s="1"/>
  <c r="B247"/>
  <c r="D247" s="1"/>
  <c r="B219" i="9"/>
  <c r="D219" s="1"/>
  <c r="B218"/>
  <c r="D218" s="1"/>
  <c r="B219" i="16"/>
  <c r="D219" s="1"/>
  <c r="B218"/>
  <c r="D218" s="1"/>
  <c r="E23" i="18"/>
  <c r="E22"/>
  <c r="E9" i="11" s="1"/>
  <c r="H150" i="18"/>
  <c r="H151" s="1"/>
  <c r="H152" s="1"/>
  <c r="H159" s="1"/>
  <c r="H19" i="11"/>
  <c r="H15"/>
  <c r="B54" i="13"/>
  <c r="G43"/>
  <c r="G44" s="1"/>
  <c r="G34"/>
  <c r="G35" s="1"/>
  <c r="G26"/>
  <c r="G27" s="1"/>
  <c r="G11"/>
  <c r="G10"/>
  <c r="G108" i="12"/>
  <c r="G21" i="13"/>
  <c r="G22" s="1"/>
  <c r="G110" i="12"/>
  <c r="G30" i="13"/>
  <c r="G31" s="1"/>
  <c r="G96" i="12"/>
  <c r="G113"/>
  <c r="G169" i="16"/>
  <c r="G168"/>
  <c r="G132"/>
  <c r="G179"/>
  <c r="B128" i="2"/>
  <c r="E128" s="1"/>
  <c r="E19" i="13"/>
  <c r="E15"/>
  <c r="I62"/>
  <c r="U67" i="18"/>
  <c r="R67"/>
  <c r="U59"/>
  <c r="R59"/>
  <c r="U51"/>
  <c r="R51"/>
  <c r="C168" i="6"/>
  <c r="B217"/>
  <c r="D217" s="1"/>
  <c r="B188" i="9"/>
  <c r="D188" s="1"/>
  <c r="B54" i="17"/>
  <c r="B188"/>
  <c r="D188" s="1"/>
  <c r="B256" i="11"/>
  <c r="D256" s="1"/>
  <c r="B210"/>
  <c r="D210" s="1"/>
  <c r="D211" s="1"/>
  <c r="D136" s="1"/>
  <c r="W71" i="12"/>
  <c r="X71" s="1"/>
  <c r="L71"/>
  <c r="W63"/>
  <c r="X63" s="1"/>
  <c r="L63"/>
  <c r="W55"/>
  <c r="X55" s="1"/>
  <c r="L55"/>
  <c r="I7" i="3"/>
  <c r="E7"/>
  <c r="F7"/>
  <c r="H7"/>
  <c r="G7"/>
  <c r="N39" i="4"/>
  <c r="H96" i="12"/>
  <c r="H43" i="13"/>
  <c r="H44" s="1"/>
  <c r="H34"/>
  <c r="H35" s="1"/>
  <c r="H26"/>
  <c r="H27" s="1"/>
  <c r="H11"/>
  <c r="H10"/>
  <c r="H108" i="12"/>
  <c r="H21" i="13"/>
  <c r="H22" s="1"/>
  <c r="H110" i="12"/>
  <c r="H30" i="13"/>
  <c r="H31" s="1"/>
  <c r="H113" i="12"/>
  <c r="B261" i="11"/>
  <c r="D261" s="1"/>
  <c r="B215"/>
  <c r="D215" s="1"/>
  <c r="D216" s="1"/>
  <c r="C26" i="18"/>
  <c r="D95"/>
  <c r="D110"/>
  <c r="D201"/>
  <c r="D211" s="1"/>
  <c r="D9" i="11"/>
  <c r="I131" i="6"/>
  <c r="U69" i="18"/>
  <c r="R69"/>
  <c r="U61"/>
  <c r="R61"/>
  <c r="U53"/>
  <c r="R53"/>
  <c r="F67" i="11"/>
  <c r="U70" i="12"/>
  <c r="R70"/>
  <c r="U62"/>
  <c r="R62"/>
  <c r="U54"/>
  <c r="R54"/>
  <c r="H23"/>
  <c r="H22"/>
  <c r="H9" i="13" s="1"/>
  <c r="F23" i="12"/>
  <c r="F22"/>
  <c r="F9" i="13" s="1"/>
  <c r="H41" i="17"/>
  <c r="H42" s="1"/>
  <c r="H131" i="6"/>
  <c r="H169" i="9"/>
  <c r="H168"/>
  <c r="H179"/>
  <c r="H132"/>
  <c r="D112" i="3"/>
  <c r="D8" i="21"/>
  <c r="D8" i="8"/>
  <c r="AH8" i="4" s="1"/>
  <c r="B214" i="13"/>
  <c r="D214" s="1"/>
  <c r="D215" s="1"/>
  <c r="W71" i="18"/>
  <c r="X71" s="1"/>
  <c r="L71"/>
  <c r="W63"/>
  <c r="X63" s="1"/>
  <c r="L63"/>
  <c r="W55"/>
  <c r="X55" s="1"/>
  <c r="L55"/>
  <c r="F111" i="3"/>
  <c r="F112" s="1"/>
  <c r="U72" i="12"/>
  <c r="R72"/>
  <c r="U64"/>
  <c r="R64"/>
  <c r="U56"/>
  <c r="R56"/>
  <c r="U48"/>
  <c r="R48"/>
  <c r="C217" i="3"/>
  <c r="C216"/>
  <c r="C152" s="1"/>
  <c r="C153" s="1"/>
  <c r="C160" s="1"/>
  <c r="A28" i="5"/>
  <c r="K28" i="4" s="1"/>
  <c r="L28"/>
  <c r="G166" i="6"/>
  <c r="G150" i="18"/>
  <c r="G151" s="1"/>
  <c r="G152" s="1"/>
  <c r="G159" s="1"/>
  <c r="G19" i="11"/>
  <c r="C111" i="12"/>
  <c r="AB80"/>
  <c r="R80"/>
  <c r="AD80"/>
  <c r="U80"/>
  <c r="X80"/>
  <c r="L80"/>
  <c r="Z80"/>
  <c r="O80"/>
  <c r="D110" i="13"/>
  <c r="D187" i="12"/>
  <c r="D186"/>
  <c r="D170"/>
  <c r="D171" s="1"/>
  <c r="D114" i="13" s="1"/>
  <c r="D148" i="12"/>
  <c r="D161"/>
  <c r="D162" s="1"/>
  <c r="D163" s="1"/>
  <c r="D99" i="13" s="1"/>
  <c r="N77" i="12"/>
  <c r="O77" s="1"/>
  <c r="K71" i="3"/>
  <c r="K75"/>
  <c r="D27"/>
  <c r="D28" s="1"/>
  <c r="D33" s="1"/>
  <c r="U79"/>
  <c r="U90" s="1"/>
  <c r="N66" i="18"/>
  <c r="O66" s="1"/>
  <c r="N58"/>
  <c r="O58" s="1"/>
  <c r="N50"/>
  <c r="O50" s="1"/>
  <c r="N74" i="12"/>
  <c r="O74" s="1"/>
  <c r="N66"/>
  <c r="O66" s="1"/>
  <c r="N58"/>
  <c r="O58" s="1"/>
  <c r="N50"/>
  <c r="O50" s="1"/>
  <c r="K56" i="3"/>
  <c r="K70"/>
  <c r="N68" i="18"/>
  <c r="O68" s="1"/>
  <c r="N60"/>
  <c r="O60" s="1"/>
  <c r="N52"/>
  <c r="O52" s="1"/>
  <c r="N75"/>
  <c r="O75" s="1"/>
  <c r="N68" i="12"/>
  <c r="O68" s="1"/>
  <c r="N60"/>
  <c r="O60" s="1"/>
  <c r="N52"/>
  <c r="O52" s="1"/>
  <c r="C26" i="3"/>
  <c r="L77"/>
  <c r="K60"/>
  <c r="D70" i="6"/>
  <c r="D71" i="4"/>
  <c r="D71" i="9"/>
  <c r="D92" i="6"/>
  <c r="D88" i="9"/>
  <c r="D99" i="16"/>
  <c r="D71"/>
  <c r="D77" i="17"/>
  <c r="D105"/>
  <c r="F115" i="13"/>
  <c r="B688" i="3"/>
  <c r="B704"/>
  <c r="B738"/>
  <c r="B746"/>
  <c r="B751"/>
  <c r="B762"/>
  <c r="B691"/>
  <c r="B707"/>
  <c r="B750"/>
  <c r="B766"/>
  <c r="B698"/>
  <c r="B713"/>
  <c r="B717"/>
  <c r="B721"/>
  <c r="B725"/>
  <c r="B729"/>
  <c r="B735"/>
  <c r="B743"/>
  <c r="B760"/>
  <c r="B765"/>
  <c r="B775"/>
  <c r="B791"/>
  <c r="B807"/>
  <c r="B823"/>
  <c r="B839"/>
  <c r="B855"/>
  <c r="B871"/>
  <c r="B878"/>
  <c r="B882"/>
  <c r="B886"/>
  <c r="B890"/>
  <c r="B894"/>
  <c r="B898"/>
  <c r="B902"/>
  <c r="B906"/>
  <c r="B910"/>
  <c r="B914"/>
  <c r="B918"/>
  <c r="B922"/>
  <c r="B937"/>
  <c r="B953"/>
  <c r="B969"/>
  <c r="B982"/>
  <c r="B770"/>
  <c r="B786"/>
  <c r="B802"/>
  <c r="B818"/>
  <c r="B834"/>
  <c r="B850"/>
  <c r="B866"/>
  <c r="B934"/>
  <c r="B950"/>
  <c r="B966"/>
  <c r="B781"/>
  <c r="B797"/>
  <c r="B813"/>
  <c r="B829"/>
  <c r="B845"/>
  <c r="B861"/>
  <c r="B931"/>
  <c r="B947"/>
  <c r="B963"/>
  <c r="B981"/>
  <c r="N70" i="18"/>
  <c r="O70" s="1"/>
  <c r="N62"/>
  <c r="O62" s="1"/>
  <c r="N54"/>
  <c r="O54" s="1"/>
  <c r="E115" i="13"/>
  <c r="E116" s="1"/>
  <c r="G9" i="6"/>
  <c r="G9" i="16"/>
  <c r="I7" i="5"/>
  <c r="S7" i="4" s="1"/>
  <c r="I9" i="16"/>
  <c r="I45" i="4"/>
  <c r="I46" s="1"/>
  <c r="J52" i="2" s="1"/>
  <c r="F26" i="3"/>
  <c r="B260" i="11"/>
  <c r="D260" s="1"/>
  <c r="N75" i="12"/>
  <c r="O75" s="1"/>
  <c r="N67"/>
  <c r="O67" s="1"/>
  <c r="N59"/>
  <c r="O59" s="1"/>
  <c r="N51"/>
  <c r="O51" s="1"/>
  <c r="G25" i="3"/>
  <c r="G115" i="13"/>
  <c r="G100" i="12"/>
  <c r="G95"/>
  <c r="G24"/>
  <c r="G150"/>
  <c r="G151" s="1"/>
  <c r="G152" s="1"/>
  <c r="G159" s="1"/>
  <c r="G92"/>
  <c r="G15" i="13" s="1"/>
  <c r="B266" i="11"/>
  <c r="D266" s="1"/>
  <c r="D267" s="1"/>
  <c r="B220"/>
  <c r="D220" s="1"/>
  <c r="X80" i="3"/>
  <c r="L80"/>
  <c r="C111"/>
  <c r="Z80"/>
  <c r="O80"/>
  <c r="AB80"/>
  <c r="R80"/>
  <c r="AD80"/>
  <c r="AB86" s="1"/>
  <c r="U80"/>
  <c r="B62" i="16"/>
  <c r="A62" s="1"/>
  <c r="U66" i="18"/>
  <c r="R66"/>
  <c r="U58"/>
  <c r="R58"/>
  <c r="U50"/>
  <c r="R50"/>
  <c r="R74"/>
  <c r="U74"/>
  <c r="F9" i="21"/>
  <c r="F9" i="8"/>
  <c r="F169" i="4"/>
  <c r="F168"/>
  <c r="F179"/>
  <c r="F132"/>
  <c r="F132" i="9"/>
  <c r="F179"/>
  <c r="F169"/>
  <c r="F168"/>
  <c r="F179" i="16"/>
  <c r="F132"/>
  <c r="F169"/>
  <c r="F168"/>
  <c r="B204" i="4"/>
  <c r="D204" s="1"/>
  <c r="B203"/>
  <c r="D203" s="1"/>
  <c r="B204" i="16"/>
  <c r="D204" s="1"/>
  <c r="B203"/>
  <c r="D203" s="1"/>
  <c r="F150" i="18"/>
  <c r="F151" s="1"/>
  <c r="F152" s="1"/>
  <c r="F159" s="1"/>
  <c r="F19" i="11"/>
  <c r="F15"/>
  <c r="B281"/>
  <c r="D281" s="1"/>
  <c r="B235"/>
  <c r="D235" s="1"/>
  <c r="U74" i="12"/>
  <c r="R74"/>
  <c r="U66"/>
  <c r="R66"/>
  <c r="U58"/>
  <c r="R58"/>
  <c r="U50"/>
  <c r="R50"/>
  <c r="G22"/>
  <c r="G9" i="13" s="1"/>
  <c r="G23" i="12"/>
  <c r="H19" i="13"/>
  <c r="G8" i="7"/>
  <c r="H23" i="2"/>
  <c r="H41" s="1"/>
  <c r="H147" s="1"/>
  <c r="G179" i="17"/>
  <c r="G169"/>
  <c r="G168"/>
  <c r="G132"/>
  <c r="I67" i="11"/>
  <c r="U68" i="18"/>
  <c r="R68"/>
  <c r="U60"/>
  <c r="R60"/>
  <c r="U52"/>
  <c r="R52"/>
  <c r="R75"/>
  <c r="U75"/>
  <c r="B219" i="13"/>
  <c r="D219" s="1"/>
  <c r="D220" s="1"/>
  <c r="C205" i="18"/>
  <c r="C210" s="1"/>
  <c r="C210" i="12"/>
  <c r="C213" i="3"/>
  <c r="C210"/>
  <c r="I150" i="18"/>
  <c r="I151" s="1"/>
  <c r="I152" s="1"/>
  <c r="I159" s="1"/>
  <c r="I19" i="11"/>
  <c r="I15"/>
  <c r="U68" i="12"/>
  <c r="R68"/>
  <c r="U60"/>
  <c r="R60"/>
  <c r="U52"/>
  <c r="R52"/>
  <c r="B54" i="11"/>
  <c r="G111" i="18"/>
  <c r="F111"/>
  <c r="F28"/>
  <c r="F29" s="1"/>
  <c r="D114" i="17"/>
  <c r="D114" i="16"/>
  <c r="D114" i="9"/>
  <c r="D113" i="6"/>
  <c r="D114" i="4"/>
  <c r="M41"/>
  <c r="B41" i="5"/>
  <c r="AA78" i="12"/>
  <c r="AB78" s="1"/>
  <c r="AB79" s="1"/>
  <c r="AB84" s="1"/>
  <c r="S78"/>
  <c r="T78" s="1"/>
  <c r="P78"/>
  <c r="Q78" s="1"/>
  <c r="AC78"/>
  <c r="AD78" s="1"/>
  <c r="AD79" s="1"/>
  <c r="AD83" s="1"/>
  <c r="Y78"/>
  <c r="Z78" s="1"/>
  <c r="Z79" s="1"/>
  <c r="M78"/>
  <c r="H2"/>
  <c r="V78"/>
  <c r="J78"/>
  <c r="K78" s="1"/>
  <c r="F21" i="13"/>
  <c r="F22" s="1"/>
  <c r="F110" i="12"/>
  <c r="F30" i="13"/>
  <c r="F31" s="1"/>
  <c r="F96" i="12"/>
  <c r="F43" i="13"/>
  <c r="F44" s="1"/>
  <c r="F34"/>
  <c r="F35" s="1"/>
  <c r="F26"/>
  <c r="F27" s="1"/>
  <c r="F11"/>
  <c r="F10"/>
  <c r="F108" i="12"/>
  <c r="F113"/>
  <c r="H62" i="13"/>
  <c r="D111" i="18"/>
  <c r="I169" i="4"/>
  <c r="I168"/>
  <c r="I179"/>
  <c r="I132"/>
  <c r="I8" i="7"/>
  <c r="J23" i="2"/>
  <c r="J41" s="1"/>
  <c r="J147" s="1"/>
  <c r="I179" i="16"/>
  <c r="I132"/>
  <c r="I169"/>
  <c r="I168"/>
  <c r="U70" i="18"/>
  <c r="R70"/>
  <c r="U62"/>
  <c r="R62"/>
  <c r="U54"/>
  <c r="R54"/>
  <c r="R49"/>
  <c r="U49"/>
  <c r="D111" i="12"/>
  <c r="F166" i="6"/>
  <c r="W73" i="12"/>
  <c r="X73" s="1"/>
  <c r="L73"/>
  <c r="W65"/>
  <c r="X65" s="1"/>
  <c r="L65"/>
  <c r="W57"/>
  <c r="X57" s="1"/>
  <c r="L57"/>
  <c r="W49"/>
  <c r="X49" s="1"/>
  <c r="L49"/>
  <c r="H179" i="4"/>
  <c r="H169"/>
  <c r="H168"/>
  <c r="H132"/>
  <c r="H169" i="16"/>
  <c r="H168"/>
  <c r="H179"/>
  <c r="H132"/>
  <c r="W72" i="18"/>
  <c r="X72" s="1"/>
  <c r="L72"/>
  <c r="W64"/>
  <c r="X64" s="1"/>
  <c r="L64"/>
  <c r="W56"/>
  <c r="X56" s="1"/>
  <c r="L56"/>
  <c r="F9" i="17"/>
  <c r="F9" i="4"/>
  <c r="F9" i="9"/>
  <c r="F8" i="10"/>
  <c r="F7" i="5"/>
  <c r="P7" i="4" s="1"/>
  <c r="F9" i="16"/>
  <c r="F9" i="6"/>
  <c r="I30" i="13"/>
  <c r="I31" s="1"/>
  <c r="I96" i="12"/>
  <c r="I43" i="13"/>
  <c r="I44" s="1"/>
  <c r="I34"/>
  <c r="I35" s="1"/>
  <c r="I26"/>
  <c r="I27" s="1"/>
  <c r="I11"/>
  <c r="I10"/>
  <c r="I108" i="12"/>
  <c r="I21" i="13"/>
  <c r="I22" s="1"/>
  <c r="I110" i="12"/>
  <c r="I113"/>
  <c r="U75"/>
  <c r="R75"/>
  <c r="U67"/>
  <c r="R67"/>
  <c r="U59"/>
  <c r="R59"/>
  <c r="U51"/>
  <c r="R51"/>
  <c r="F108" i="18"/>
  <c r="F114" s="1"/>
  <c r="F96"/>
  <c r="F97" s="1"/>
  <c r="F110"/>
  <c r="F43" i="11"/>
  <c r="F44" s="1"/>
  <c r="F34"/>
  <c r="F35" s="1"/>
  <c r="F26"/>
  <c r="F27" s="1"/>
  <c r="F11"/>
  <c r="F10"/>
  <c r="F21"/>
  <c r="F22" s="1"/>
  <c r="F30"/>
  <c r="F31" s="1"/>
  <c r="G19" i="13"/>
  <c r="E111" i="3"/>
  <c r="D187" i="18"/>
  <c r="D186"/>
  <c r="D170"/>
  <c r="D171" s="1"/>
  <c r="D134" i="11" s="1"/>
  <c r="D148" i="18"/>
  <c r="D128" i="11"/>
  <c r="D161" i="18"/>
  <c r="D162" s="1"/>
  <c r="D163" s="1"/>
  <c r="X80"/>
  <c r="L80"/>
  <c r="Z80"/>
  <c r="O80"/>
  <c r="C111"/>
  <c r="AD80"/>
  <c r="U80"/>
  <c r="R80"/>
  <c r="AB80"/>
  <c r="F110" i="17"/>
  <c r="F110" i="16"/>
  <c r="F110" i="9"/>
  <c r="F109" i="6"/>
  <c r="F110" i="4"/>
  <c r="F189" i="3"/>
  <c r="F188"/>
  <c r="F172"/>
  <c r="F173" s="1"/>
  <c r="R79"/>
  <c r="N69" i="12"/>
  <c r="O69" s="1"/>
  <c r="N61"/>
  <c r="O61" s="1"/>
  <c r="N53"/>
  <c r="O53" s="1"/>
  <c r="K64" i="3"/>
  <c r="B15" i="6"/>
  <c r="A15" s="1"/>
  <c r="B15" i="17"/>
  <c r="A15" s="1"/>
  <c r="L55" i="3"/>
  <c r="L66"/>
  <c r="N71" i="12"/>
  <c r="O71" s="1"/>
  <c r="N63"/>
  <c r="O63" s="1"/>
  <c r="N55"/>
  <c r="O55" s="1"/>
  <c r="C25" i="3"/>
  <c r="L67"/>
  <c r="L51"/>
  <c r="K68"/>
  <c r="K53"/>
  <c r="D105" i="4"/>
  <c r="D99" i="9"/>
  <c r="D93" i="16"/>
  <c r="D88"/>
  <c r="D71" i="17"/>
  <c r="D99"/>
  <c r="B700" i="3"/>
  <c r="B736"/>
  <c r="B744"/>
  <c r="B764"/>
  <c r="B687"/>
  <c r="B703"/>
  <c r="B732"/>
  <c r="B694"/>
  <c r="B710"/>
  <c r="B714"/>
  <c r="B718"/>
  <c r="B722"/>
  <c r="B726"/>
  <c r="B733"/>
  <c r="B741"/>
  <c r="B749"/>
  <c r="B771"/>
  <c r="B787"/>
  <c r="B803"/>
  <c r="B819"/>
  <c r="B835"/>
  <c r="B851"/>
  <c r="B867"/>
  <c r="B877"/>
  <c r="B881"/>
  <c r="B885"/>
  <c r="B889"/>
  <c r="B893"/>
  <c r="B897"/>
  <c r="B901"/>
  <c r="B905"/>
  <c r="B909"/>
  <c r="B913"/>
  <c r="B917"/>
  <c r="B921"/>
  <c r="B925"/>
  <c r="B941"/>
  <c r="B957"/>
  <c r="B973"/>
  <c r="B980"/>
  <c r="B782"/>
  <c r="B798"/>
  <c r="B814"/>
  <c r="B830"/>
  <c r="B846"/>
  <c r="B862"/>
  <c r="B938"/>
  <c r="B954"/>
  <c r="B970"/>
  <c r="B777"/>
  <c r="B793"/>
  <c r="B809"/>
  <c r="B825"/>
  <c r="B841"/>
  <c r="B857"/>
  <c r="B873"/>
  <c r="B935"/>
  <c r="B951"/>
  <c r="B967"/>
  <c r="B979"/>
  <c r="I95" i="18"/>
  <c r="G7" i="5"/>
  <c r="Q7" i="4" s="1"/>
  <c r="G8" i="10"/>
  <c r="I9" i="4"/>
  <c r="I8" i="10"/>
  <c r="K65" i="3"/>
  <c r="N71" i="18"/>
  <c r="O71" s="1"/>
  <c r="B234" i="11"/>
  <c r="D234" s="1"/>
  <c r="C118" i="16"/>
  <c r="U77" i="12"/>
  <c r="R77"/>
  <c r="I111" i="3"/>
  <c r="I112" s="1"/>
  <c r="E62" i="13"/>
  <c r="B229"/>
  <c r="D229" s="1"/>
  <c r="D230" s="1"/>
  <c r="R73" i="18"/>
  <c r="U73"/>
  <c r="W73"/>
  <c r="X73" s="1"/>
  <c r="L73"/>
  <c r="W65"/>
  <c r="X65" s="1"/>
  <c r="L65"/>
  <c r="W57"/>
  <c r="X57" s="1"/>
  <c r="L57"/>
  <c r="L74"/>
  <c r="W74"/>
  <c r="X74" s="1"/>
  <c r="F132" i="17"/>
  <c r="F179"/>
  <c r="F169"/>
  <c r="F168"/>
  <c r="B233" i="6"/>
  <c r="D233" s="1"/>
  <c r="B232"/>
  <c r="D232" s="1"/>
  <c r="B204" i="9"/>
  <c r="D204" s="1"/>
  <c r="B203"/>
  <c r="D203" s="1"/>
  <c r="B204" i="17"/>
  <c r="D204" s="1"/>
  <c r="B203"/>
  <c r="D203" s="1"/>
  <c r="F19" i="13"/>
  <c r="F15"/>
  <c r="U69" i="12"/>
  <c r="R69"/>
  <c r="U61"/>
  <c r="R61"/>
  <c r="U53"/>
  <c r="R53"/>
  <c r="B209" i="13"/>
  <c r="D209" s="1"/>
  <c r="B219" i="17"/>
  <c r="D219" s="1"/>
  <c r="B218"/>
  <c r="D218" s="1"/>
  <c r="B209" i="4"/>
  <c r="D209" s="1"/>
  <c r="B208"/>
  <c r="D208" s="1"/>
  <c r="B209" i="16"/>
  <c r="D209" s="1"/>
  <c r="B208"/>
  <c r="D208" s="1"/>
  <c r="R77" i="18"/>
  <c r="U77"/>
  <c r="L42" i="4"/>
  <c r="A42" i="5"/>
  <c r="K42" i="4" s="1"/>
  <c r="G38" i="17"/>
  <c r="G39" s="1"/>
  <c r="G41"/>
  <c r="G42" s="1"/>
  <c r="G38" i="16"/>
  <c r="G39" s="1"/>
  <c r="G41"/>
  <c r="G42" s="1"/>
  <c r="G41" i="9"/>
  <c r="G42" s="1"/>
  <c r="G38"/>
  <c r="G39" s="1"/>
  <c r="G41" i="6"/>
  <c r="G42" s="1"/>
  <c r="G38"/>
  <c r="G39" s="1"/>
  <c r="G41" i="4"/>
  <c r="G42" s="1"/>
  <c r="G38"/>
  <c r="G39" s="1"/>
  <c r="G131" i="6"/>
  <c r="F36" i="2"/>
  <c r="I166" i="6"/>
  <c r="W75" i="18"/>
  <c r="X75" s="1"/>
  <c r="L75"/>
  <c r="W67"/>
  <c r="X67" s="1"/>
  <c r="L67"/>
  <c r="W59"/>
  <c r="X59" s="1"/>
  <c r="L59"/>
  <c r="W51"/>
  <c r="X51" s="1"/>
  <c r="L51"/>
  <c r="I19" i="13"/>
  <c r="I15"/>
  <c r="U71" i="12"/>
  <c r="R71"/>
  <c r="U63"/>
  <c r="R63"/>
  <c r="U55"/>
  <c r="R55"/>
  <c r="H115" i="13"/>
  <c r="H150" i="12"/>
  <c r="H151" s="1"/>
  <c r="H152" s="1"/>
  <c r="H159" s="1"/>
  <c r="H92"/>
  <c r="H15" i="13" s="1"/>
  <c r="H100" i="12"/>
  <c r="H95"/>
  <c r="H24"/>
  <c r="D217" i="3"/>
  <c r="D216"/>
  <c r="L24" i="4"/>
  <c r="A24" i="5"/>
  <c r="K24" i="4" s="1"/>
  <c r="H62"/>
  <c r="H67" i="11"/>
  <c r="I169" i="17"/>
  <c r="I168"/>
  <c r="I179"/>
  <c r="I132"/>
  <c r="W69" i="18"/>
  <c r="X69" s="1"/>
  <c r="L69"/>
  <c r="W61"/>
  <c r="X61" s="1"/>
  <c r="L61"/>
  <c r="W53"/>
  <c r="X53" s="1"/>
  <c r="L53"/>
  <c r="W49"/>
  <c r="X49" s="1"/>
  <c r="L49"/>
  <c r="W70" i="12"/>
  <c r="X70" s="1"/>
  <c r="L70"/>
  <c r="W62"/>
  <c r="X62" s="1"/>
  <c r="L62"/>
  <c r="W54"/>
  <c r="X54" s="1"/>
  <c r="L54"/>
  <c r="H110" i="18"/>
  <c r="H108"/>
  <c r="H114" s="1"/>
  <c r="H96"/>
  <c r="H97" s="1"/>
  <c r="H30" i="11"/>
  <c r="H31" s="1"/>
  <c r="H34"/>
  <c r="H35" s="1"/>
  <c r="H21"/>
  <c r="H22" s="1"/>
  <c r="H43"/>
  <c r="H44" s="1"/>
  <c r="H26"/>
  <c r="H27" s="1"/>
  <c r="H11"/>
  <c r="H10"/>
  <c r="I23" i="18"/>
  <c r="I22"/>
  <c r="I9" i="11" s="1"/>
  <c r="H110" i="17"/>
  <c r="H111" s="1"/>
  <c r="H113" s="1"/>
  <c r="H110" i="16"/>
  <c r="H111" s="1"/>
  <c r="H113" s="1"/>
  <c r="H110" i="9"/>
  <c r="H111" s="1"/>
  <c r="H113" s="1"/>
  <c r="H109" i="6"/>
  <c r="H110" s="1"/>
  <c r="H112" s="1"/>
  <c r="H110" i="4"/>
  <c r="H111" s="1"/>
  <c r="H113" s="1"/>
  <c r="H172" i="3"/>
  <c r="H173" s="1"/>
  <c r="H132" i="17"/>
  <c r="H169"/>
  <c r="H168"/>
  <c r="H179"/>
  <c r="AC78" i="18"/>
  <c r="AD78" s="1"/>
  <c r="AD79" s="1"/>
  <c r="AD83" s="1"/>
  <c r="Y78"/>
  <c r="Z78" s="1"/>
  <c r="M78"/>
  <c r="V78"/>
  <c r="J78"/>
  <c r="K78" s="1"/>
  <c r="P78"/>
  <c r="Q78" s="1"/>
  <c r="AA78"/>
  <c r="AB78" s="1"/>
  <c r="S78"/>
  <c r="T78" s="1"/>
  <c r="H2"/>
  <c r="F26" s="1"/>
  <c r="B271" i="11"/>
  <c r="D271" s="1"/>
  <c r="B225"/>
  <c r="D225" s="1"/>
  <c r="D226" s="1"/>
  <c r="N48" i="18"/>
  <c r="O48" s="1"/>
  <c r="U71"/>
  <c r="R71"/>
  <c r="U63"/>
  <c r="R63"/>
  <c r="U55"/>
  <c r="R55"/>
  <c r="W72" i="12"/>
  <c r="X72" s="1"/>
  <c r="L72"/>
  <c r="W64"/>
  <c r="X64" s="1"/>
  <c r="L64"/>
  <c r="W56"/>
  <c r="X56" s="1"/>
  <c r="L56"/>
  <c r="W48"/>
  <c r="X48" s="1"/>
  <c r="L48"/>
  <c r="G62" i="4"/>
  <c r="G62" i="13"/>
  <c r="E205" i="18"/>
  <c r="E210" s="1"/>
  <c r="E210" i="12"/>
  <c r="E213" i="3"/>
  <c r="E210"/>
  <c r="H111" i="18"/>
  <c r="H28"/>
  <c r="H29" s="1"/>
  <c r="E9" i="9"/>
  <c r="E8" i="10"/>
  <c r="E9" i="4"/>
  <c r="E9" i="16"/>
  <c r="E7" i="5"/>
  <c r="O7" i="4" s="1"/>
  <c r="E9" i="17"/>
  <c r="E9" i="6"/>
  <c r="C201" i="18"/>
  <c r="C9" i="11"/>
  <c r="I26" i="3"/>
  <c r="I27" s="1"/>
  <c r="I28" s="1"/>
  <c r="I29" s="1"/>
  <c r="K72"/>
  <c r="K48"/>
  <c r="K54"/>
  <c r="K78"/>
  <c r="E44" i="18"/>
  <c r="E45" s="1"/>
  <c r="B15" i="9"/>
  <c r="A15" s="1"/>
  <c r="B7" i="18"/>
  <c r="B208" i="13"/>
  <c r="D208" s="1"/>
  <c r="K50" i="3"/>
  <c r="K61"/>
  <c r="D99" i="4"/>
  <c r="D83" i="9"/>
  <c r="D104" i="6"/>
  <c r="D105" i="9"/>
  <c r="D83" i="16"/>
  <c r="B696" i="3"/>
  <c r="B731"/>
  <c r="B734"/>
  <c r="B742"/>
  <c r="B754"/>
  <c r="B699"/>
  <c r="B755"/>
  <c r="B690"/>
  <c r="B706"/>
  <c r="B711"/>
  <c r="B715"/>
  <c r="B719"/>
  <c r="B723"/>
  <c r="B727"/>
  <c r="B739"/>
  <c r="B747"/>
  <c r="B767"/>
  <c r="B783"/>
  <c r="B799"/>
  <c r="B815"/>
  <c r="B831"/>
  <c r="B847"/>
  <c r="B863"/>
  <c r="B876"/>
  <c r="B880"/>
  <c r="B884"/>
  <c r="B888"/>
  <c r="B892"/>
  <c r="B896"/>
  <c r="B900"/>
  <c r="B904"/>
  <c r="B908"/>
  <c r="B912"/>
  <c r="B916"/>
  <c r="B920"/>
  <c r="B924"/>
  <c r="B929"/>
  <c r="B945"/>
  <c r="B961"/>
  <c r="B978"/>
  <c r="B778"/>
  <c r="B794"/>
  <c r="B810"/>
  <c r="B826"/>
  <c r="B842"/>
  <c r="B858"/>
  <c r="B874"/>
  <c r="B926"/>
  <c r="B942"/>
  <c r="B958"/>
  <c r="B974"/>
  <c r="B773"/>
  <c r="B789"/>
  <c r="B805"/>
  <c r="B821"/>
  <c r="B837"/>
  <c r="B853"/>
  <c r="B869"/>
  <c r="B939"/>
  <c r="B955"/>
  <c r="B971"/>
  <c r="B977"/>
  <c r="K18" i="12"/>
  <c r="B203" i="13"/>
  <c r="D203" s="1"/>
  <c r="K73" i="3"/>
  <c r="H112"/>
  <c r="B229" i="11"/>
  <c r="D229" s="1"/>
  <c r="B280"/>
  <c r="D280" s="1"/>
  <c r="I115" i="13"/>
  <c r="H135" i="11"/>
  <c r="B228" i="6" l="1"/>
  <c r="D228" s="1"/>
  <c r="F27" i="3"/>
  <c r="F28" s="1"/>
  <c r="F29" s="1"/>
  <c r="H41" i="9"/>
  <c r="H42" s="1"/>
  <c r="E136" i="11"/>
  <c r="D120" i="4"/>
  <c r="B227" i="6"/>
  <c r="D227" s="1"/>
  <c r="H41"/>
  <c r="H42" s="1"/>
  <c r="D111" i="17"/>
  <c r="D112" s="1"/>
  <c r="D221" i="11"/>
  <c r="F136" s="1"/>
  <c r="B199" i="9"/>
  <c r="D199" s="1"/>
  <c r="G97" i="12"/>
  <c r="D236" i="11"/>
  <c r="I136" s="1"/>
  <c r="D262"/>
  <c r="E262" s="1"/>
  <c r="D257"/>
  <c r="E257" s="1"/>
  <c r="D211" i="12"/>
  <c r="C26"/>
  <c r="B199" i="16"/>
  <c r="D199" s="1"/>
  <c r="D200" s="1"/>
  <c r="E116" s="1"/>
  <c r="D88" i="17"/>
  <c r="D88" i="4"/>
  <c r="B198" i="9"/>
  <c r="D198" s="1"/>
  <c r="B199" i="4"/>
  <c r="D199" s="1"/>
  <c r="D78"/>
  <c r="H38" i="6"/>
  <c r="H39" s="1"/>
  <c r="H38" i="16"/>
  <c r="H39" s="1"/>
  <c r="D111"/>
  <c r="D112" s="1"/>
  <c r="D111" i="9"/>
  <c r="D112" s="1"/>
  <c r="D120" i="16"/>
  <c r="B198" i="4"/>
  <c r="D198" s="1"/>
  <c r="H41"/>
  <c r="H42" s="1"/>
  <c r="H41" i="16"/>
  <c r="H42" s="1"/>
  <c r="D111" i="4"/>
  <c r="D112" s="1"/>
  <c r="D119" i="6"/>
  <c r="R76" i="18"/>
  <c r="D231" i="11"/>
  <c r="G136"/>
  <c r="AB79" i="18"/>
  <c r="AB84" s="1"/>
  <c r="AB86" s="1"/>
  <c r="H38" i="4"/>
  <c r="H39" s="1"/>
  <c r="H38" i="9"/>
  <c r="H39" s="1"/>
  <c r="D110" i="6"/>
  <c r="D111" s="1"/>
  <c r="I97" i="12"/>
  <c r="D272" i="11"/>
  <c r="E272" s="1"/>
  <c r="H136"/>
  <c r="G116" i="13"/>
  <c r="E27" i="3"/>
  <c r="E28" s="1"/>
  <c r="E29" s="1"/>
  <c r="E30" s="1"/>
  <c r="E31" s="1"/>
  <c r="E32" s="1"/>
  <c r="E33" s="1"/>
  <c r="E95" s="1"/>
  <c r="D210" i="13"/>
  <c r="D116" s="1"/>
  <c r="E23" i="12"/>
  <c r="E26" s="1"/>
  <c r="D277" i="11"/>
  <c r="G97" i="18"/>
  <c r="U76"/>
  <c r="W76"/>
  <c r="X76" s="1"/>
  <c r="I97"/>
  <c r="O76"/>
  <c r="L76"/>
  <c r="D220" i="16"/>
  <c r="I116" s="1"/>
  <c r="D210" i="17"/>
  <c r="G116" s="1"/>
  <c r="I116" i="13"/>
  <c r="H97" i="12"/>
  <c r="F112" i="18"/>
  <c r="D26"/>
  <c r="D78" i="17"/>
  <c r="I26" i="12"/>
  <c r="D26"/>
  <c r="F46" i="2"/>
  <c r="F252" i="3" s="1"/>
  <c r="B10" i="5" s="1"/>
  <c r="L10" i="4" s="1"/>
  <c r="D205"/>
  <c r="F116" s="1"/>
  <c r="D71" i="13"/>
  <c r="D122" i="11"/>
  <c r="D77" i="6"/>
  <c r="D229"/>
  <c r="E115" s="1"/>
  <c r="N78" i="12"/>
  <c r="D93" i="13"/>
  <c r="C211" i="18"/>
  <c r="C212" s="1"/>
  <c r="H112" i="17"/>
  <c r="D205"/>
  <c r="F116" s="1"/>
  <c r="D234" i="6"/>
  <c r="F115" s="1"/>
  <c r="D86" i="11"/>
  <c r="H26" i="18"/>
  <c r="G112"/>
  <c r="H112"/>
  <c r="D78" i="11"/>
  <c r="D94"/>
  <c r="D249" i="6"/>
  <c r="I115" s="1"/>
  <c r="D210" i="9"/>
  <c r="G116" s="1"/>
  <c r="D220" i="4"/>
  <c r="I116" s="1"/>
  <c r="D115" i="11"/>
  <c r="AE47" i="12"/>
  <c r="H112" i="4"/>
  <c r="I26" i="18"/>
  <c r="F116" i="13"/>
  <c r="C27" i="3"/>
  <c r="C28" s="1"/>
  <c r="C29" s="1"/>
  <c r="C33" s="1"/>
  <c r="C100" s="1"/>
  <c r="H116" i="13"/>
  <c r="Z86" i="12"/>
  <c r="I171" i="17"/>
  <c r="I174" s="1"/>
  <c r="F114"/>
  <c r="F114" i="16"/>
  <c r="F114" i="9"/>
  <c r="F113" i="6"/>
  <c r="F114" i="4"/>
  <c r="C8" i="17"/>
  <c r="B189" s="1"/>
  <c r="D189" s="1"/>
  <c r="D190" s="1"/>
  <c r="C116" s="1"/>
  <c r="C8" i="16"/>
  <c r="B189" s="1"/>
  <c r="D189" s="1"/>
  <c r="D190" s="1"/>
  <c r="C116" s="1"/>
  <c r="C7" i="10"/>
  <c r="C8" i="9"/>
  <c r="B189" s="1"/>
  <c r="D189" s="1"/>
  <c r="D190" s="1"/>
  <c r="C116" s="1"/>
  <c r="C8" i="6"/>
  <c r="B218" s="1"/>
  <c r="D218" s="1"/>
  <c r="D219" s="1"/>
  <c r="C115" s="1"/>
  <c r="C8" i="4"/>
  <c r="B189" s="1"/>
  <c r="D189" s="1"/>
  <c r="D190" s="1"/>
  <c r="C116" s="1"/>
  <c r="D8"/>
  <c r="B62"/>
  <c r="A62" s="1"/>
  <c r="D212" i="12"/>
  <c r="D189"/>
  <c r="D188" s="1"/>
  <c r="I110" i="13"/>
  <c r="I111" s="1"/>
  <c r="I113" s="1"/>
  <c r="I170" i="12"/>
  <c r="I171" s="1"/>
  <c r="I114" i="13" s="1"/>
  <c r="I148" i="12"/>
  <c r="D103" i="6"/>
  <c r="N75" i="3"/>
  <c r="O75" s="1"/>
  <c r="L75"/>
  <c r="G199" i="6"/>
  <c r="AA4" i="4"/>
  <c r="H170" i="13"/>
  <c r="H169"/>
  <c r="H132"/>
  <c r="H180"/>
  <c r="H160" i="18"/>
  <c r="E7" i="12"/>
  <c r="C8" i="13" s="1"/>
  <c r="B204" s="1"/>
  <c r="D204" s="1"/>
  <c r="D205" s="1"/>
  <c r="C116" s="1"/>
  <c r="F7" i="12"/>
  <c r="D8" i="13" s="1"/>
  <c r="N76" i="3"/>
  <c r="O76" s="1"/>
  <c r="L76"/>
  <c r="N69"/>
  <c r="O69" s="1"/>
  <c r="L69"/>
  <c r="G110" i="17"/>
  <c r="G111" s="1"/>
  <c r="G113" s="1"/>
  <c r="G110" i="16"/>
  <c r="G111" s="1"/>
  <c r="G113" s="1"/>
  <c r="G110" i="9"/>
  <c r="G111" s="1"/>
  <c r="G113" s="1"/>
  <c r="G109" i="6"/>
  <c r="G110" s="1"/>
  <c r="G112" s="1"/>
  <c r="G110" i="4"/>
  <c r="G111" s="1"/>
  <c r="G113" s="1"/>
  <c r="G172" i="3"/>
  <c r="G173" s="1"/>
  <c r="N54"/>
  <c r="O54" s="1"/>
  <c r="L54"/>
  <c r="E8" i="21"/>
  <c r="E8" i="8"/>
  <c r="AI8" i="4" s="1"/>
  <c r="G12" i="18"/>
  <c r="G13" s="1"/>
  <c r="G14" s="1"/>
  <c r="G25" s="1"/>
  <c r="C12"/>
  <c r="C13" s="1"/>
  <c r="C25" s="1"/>
  <c r="H12"/>
  <c r="H13" s="1"/>
  <c r="H14" s="1"/>
  <c r="H25" s="1"/>
  <c r="D12"/>
  <c r="D13" s="1"/>
  <c r="D25" s="1"/>
  <c r="I12"/>
  <c r="I13" s="1"/>
  <c r="I14" s="1"/>
  <c r="I25" s="1"/>
  <c r="E12"/>
  <c r="E13" s="1"/>
  <c r="E14" s="1"/>
  <c r="E25" s="1"/>
  <c r="F12"/>
  <c r="F13" s="1"/>
  <c r="F14" s="1"/>
  <c r="F25" s="1"/>
  <c r="F27" s="1"/>
  <c r="H172" i="17"/>
  <c r="H114"/>
  <c r="H114" i="16"/>
  <c r="H114" i="9"/>
  <c r="H113" i="6"/>
  <c r="H114" i="4"/>
  <c r="H101"/>
  <c r="H102" s="1"/>
  <c r="H95"/>
  <c r="H96" s="1"/>
  <c r="H106"/>
  <c r="H85"/>
  <c r="H86" s="1"/>
  <c r="H79"/>
  <c r="H80" s="1"/>
  <c r="H90"/>
  <c r="H91" s="1"/>
  <c r="H117"/>
  <c r="H101" i="16"/>
  <c r="H102" s="1"/>
  <c r="H95"/>
  <c r="H96" s="1"/>
  <c r="H85"/>
  <c r="H86" s="1"/>
  <c r="H79"/>
  <c r="H80" s="1"/>
  <c r="H106"/>
  <c r="H90"/>
  <c r="H91" s="1"/>
  <c r="H117"/>
  <c r="H154" i="11"/>
  <c r="H185"/>
  <c r="H184"/>
  <c r="H195"/>
  <c r="H38"/>
  <c r="H39" s="1"/>
  <c r="H41"/>
  <c r="H42" s="1"/>
  <c r="I172" i="17"/>
  <c r="H160" i="12"/>
  <c r="N68" i="3"/>
  <c r="O68" s="1"/>
  <c r="L68"/>
  <c r="I170" i="13"/>
  <c r="I169"/>
  <c r="I132"/>
  <c r="I180"/>
  <c r="F8" i="21"/>
  <c r="F8" i="8"/>
  <c r="AJ8" i="4" s="1"/>
  <c r="H171" i="16"/>
  <c r="H174" s="1"/>
  <c r="H172" i="4"/>
  <c r="H10" i="14"/>
  <c r="I5"/>
  <c r="I171" i="4"/>
  <c r="I7" i="14" s="1"/>
  <c r="F180" i="13"/>
  <c r="F170"/>
  <c r="F169"/>
  <c r="F132"/>
  <c r="D104" i="4"/>
  <c r="D104" i="17"/>
  <c r="G171"/>
  <c r="G174" s="1"/>
  <c r="F172" i="4"/>
  <c r="G26" i="12"/>
  <c r="N56" i="3"/>
  <c r="O56" s="1"/>
  <c r="L56"/>
  <c r="D11" i="17"/>
  <c r="D10"/>
  <c r="D11" i="16"/>
  <c r="D10"/>
  <c r="D11" i="9"/>
  <c r="D10"/>
  <c r="D9" i="10"/>
  <c r="D11" i="6"/>
  <c r="D10"/>
  <c r="D10" i="4"/>
  <c r="D11"/>
  <c r="D96" i="3"/>
  <c r="G160" i="18"/>
  <c r="C161" i="3"/>
  <c r="C149" s="1"/>
  <c r="H171" i="9"/>
  <c r="H174" s="1"/>
  <c r="D8" i="17"/>
  <c r="D8" i="16"/>
  <c r="D8" i="9"/>
  <c r="D7" i="10"/>
  <c r="D8" i="6"/>
  <c r="B168"/>
  <c r="W6" i="4"/>
  <c r="G171" i="16"/>
  <c r="G174" s="1"/>
  <c r="G132" i="13"/>
  <c r="G180"/>
  <c r="G170"/>
  <c r="G169"/>
  <c r="C8" i="21"/>
  <c r="C8" i="8"/>
  <c r="AG8" i="4" s="1"/>
  <c r="G41" i="11"/>
  <c r="G42" s="1"/>
  <c r="G38"/>
  <c r="G39" s="1"/>
  <c r="D112" i="12"/>
  <c r="I172" i="9"/>
  <c r="G171"/>
  <c r="G174" s="1"/>
  <c r="R90" i="3"/>
  <c r="AB85"/>
  <c r="B15" i="11"/>
  <c r="A15" s="1"/>
  <c r="E267"/>
  <c r="AE47" i="18"/>
  <c r="N78"/>
  <c r="O78" s="1"/>
  <c r="H111" i="6"/>
  <c r="H112" i="9"/>
  <c r="H112" i="16"/>
  <c r="D210"/>
  <c r="G116" s="1"/>
  <c r="G26" i="18"/>
  <c r="D205" i="9"/>
  <c r="F116" s="1"/>
  <c r="D78" i="16"/>
  <c r="D78" i="9"/>
  <c r="D88" i="13"/>
  <c r="H114" i="12"/>
  <c r="F97"/>
  <c r="D200" i="17"/>
  <c r="E116" s="1"/>
  <c r="D112" i="6"/>
  <c r="N48" i="3"/>
  <c r="O48" s="1"/>
  <c r="L48"/>
  <c r="H171" i="17"/>
  <c r="H174" s="1"/>
  <c r="B62" i="13"/>
  <c r="A62" s="1"/>
  <c r="N65" i="3"/>
  <c r="O65" s="1"/>
  <c r="L65"/>
  <c r="F38" i="11"/>
  <c r="F39" s="1"/>
  <c r="F41"/>
  <c r="F42" s="1"/>
  <c r="H5" i="14"/>
  <c r="H171" i="4"/>
  <c r="H7" i="14" s="1"/>
  <c r="F199" i="6"/>
  <c r="Z4" i="4"/>
  <c r="O78" i="12"/>
  <c r="O79" s="1"/>
  <c r="U78"/>
  <c r="U79" s="1"/>
  <c r="U90" s="1"/>
  <c r="R78"/>
  <c r="R79" s="1"/>
  <c r="I171" i="9"/>
  <c r="I174" s="1"/>
  <c r="U78" i="18"/>
  <c r="R78"/>
  <c r="H101" i="9"/>
  <c r="H102" s="1"/>
  <c r="H95"/>
  <c r="H96" s="1"/>
  <c r="H106"/>
  <c r="H85"/>
  <c r="H86" s="1"/>
  <c r="H79"/>
  <c r="H80" s="1"/>
  <c r="H90"/>
  <c r="H91" s="1"/>
  <c r="H117"/>
  <c r="H85" i="17"/>
  <c r="H86" s="1"/>
  <c r="H79"/>
  <c r="H80" s="1"/>
  <c r="H101"/>
  <c r="H102" s="1"/>
  <c r="H95"/>
  <c r="H96" s="1"/>
  <c r="H106"/>
  <c r="H90"/>
  <c r="H91" s="1"/>
  <c r="H117"/>
  <c r="I111" i="18"/>
  <c r="I112" s="1"/>
  <c r="I28"/>
  <c r="I29" s="1"/>
  <c r="I199" i="6"/>
  <c r="AC4" i="4"/>
  <c r="F171" i="17"/>
  <c r="F174" s="1"/>
  <c r="N53" i="3"/>
  <c r="O53" s="1"/>
  <c r="L53"/>
  <c r="N64"/>
  <c r="O64" s="1"/>
  <c r="L64"/>
  <c r="H172" i="16"/>
  <c r="I171"/>
  <c r="I174" s="1"/>
  <c r="I172" i="4"/>
  <c r="F12" i="12"/>
  <c r="F13" s="1"/>
  <c r="F14" s="1"/>
  <c r="G12"/>
  <c r="G13" s="1"/>
  <c r="G14" s="1"/>
  <c r="G25" s="1"/>
  <c r="C12"/>
  <c r="C13" s="1"/>
  <c r="C25" s="1"/>
  <c r="C27" s="1"/>
  <c r="C28" s="1"/>
  <c r="C29" s="1"/>
  <c r="C33" s="1"/>
  <c r="H12"/>
  <c r="H13" s="1"/>
  <c r="H14" s="1"/>
  <c r="H25" s="1"/>
  <c r="D12"/>
  <c r="D13" s="1"/>
  <c r="D25" s="1"/>
  <c r="I12"/>
  <c r="I13" s="1"/>
  <c r="I14" s="1"/>
  <c r="I25" s="1"/>
  <c r="E12"/>
  <c r="E13" s="1"/>
  <c r="E14" s="1"/>
  <c r="E25" s="1"/>
  <c r="E27" s="1"/>
  <c r="W78"/>
  <c r="X78" s="1"/>
  <c r="X79" s="1"/>
  <c r="X90" s="1"/>
  <c r="L78"/>
  <c r="L79" s="1"/>
  <c r="D104" i="16"/>
  <c r="I160" i="18"/>
  <c r="G172" i="17"/>
  <c r="F171" i="16"/>
  <c r="F174" s="1"/>
  <c r="F171" i="9"/>
  <c r="F174" s="1"/>
  <c r="F10" i="14"/>
  <c r="G160" i="12"/>
  <c r="N60" i="3"/>
  <c r="O60" s="1"/>
  <c r="L60"/>
  <c r="N70"/>
  <c r="O70" s="1"/>
  <c r="L70"/>
  <c r="Z87"/>
  <c r="H172" i="9"/>
  <c r="F28" i="12"/>
  <c r="F29" s="1"/>
  <c r="F111"/>
  <c r="D112" i="18"/>
  <c r="G172" i="16"/>
  <c r="E111" i="18"/>
  <c r="I38" i="11"/>
  <c r="I39" s="1"/>
  <c r="I41"/>
  <c r="I42" s="1"/>
  <c r="I28" i="12"/>
  <c r="I29" s="1"/>
  <c r="I111"/>
  <c r="I112" s="1"/>
  <c r="E114" i="17"/>
  <c r="E114" i="16"/>
  <c r="E114" i="9"/>
  <c r="E113" i="6"/>
  <c r="E114" i="4"/>
  <c r="N49" i="3"/>
  <c r="O49" s="1"/>
  <c r="L49"/>
  <c r="G8" i="21"/>
  <c r="G8" i="8"/>
  <c r="AK8" i="4" s="1"/>
  <c r="H199" i="6"/>
  <c r="AB4" i="4"/>
  <c r="E160" i="18"/>
  <c r="G172" i="9"/>
  <c r="G5" i="14"/>
  <c r="G171" i="4"/>
  <c r="G7" i="14" s="1"/>
  <c r="AK9" i="4"/>
  <c r="F110" i="13"/>
  <c r="F187" i="12"/>
  <c r="F186"/>
  <c r="F170"/>
  <c r="F171" s="1"/>
  <c r="F114" i="13" s="1"/>
  <c r="F148" i="12"/>
  <c r="D210" i="4"/>
  <c r="G116" s="1"/>
  <c r="D101" i="11"/>
  <c r="I114" i="12"/>
  <c r="F114"/>
  <c r="F112"/>
  <c r="D105" i="13"/>
  <c r="C27" i="18"/>
  <c r="C28" s="1"/>
  <c r="C29" s="1"/>
  <c r="C33" s="1"/>
  <c r="F25" i="12"/>
  <c r="G114"/>
  <c r="D220" i="9"/>
  <c r="I116" s="1"/>
  <c r="E26" i="18"/>
  <c r="G27" i="3"/>
  <c r="G28" s="1"/>
  <c r="G29" s="1"/>
  <c r="Z79" i="18"/>
  <c r="D113" i="17"/>
  <c r="D239" i="6"/>
  <c r="G115" s="1"/>
  <c r="C207" i="18"/>
  <c r="C208" s="1"/>
  <c r="C209" s="1"/>
  <c r="C207" i="12"/>
  <c r="C208" s="1"/>
  <c r="C209" s="1"/>
  <c r="F5" i="14"/>
  <c r="F171" i="4"/>
  <c r="F7" i="14" s="1"/>
  <c r="H111" i="12"/>
  <c r="H112" s="1"/>
  <c r="H28"/>
  <c r="H29" s="1"/>
  <c r="AB86"/>
  <c r="N73" i="3"/>
  <c r="O73" s="1"/>
  <c r="L73"/>
  <c r="N50"/>
  <c r="O50" s="1"/>
  <c r="L50"/>
  <c r="L78" i="18"/>
  <c r="W78"/>
  <c r="X78" s="1"/>
  <c r="N61" i="3"/>
  <c r="O61" s="1"/>
  <c r="L61"/>
  <c r="F7" i="18"/>
  <c r="D8" i="11" s="1"/>
  <c r="E7" i="18"/>
  <c r="C8" i="11" s="1"/>
  <c r="N78" i="3"/>
  <c r="O78" s="1"/>
  <c r="L78"/>
  <c r="N72"/>
  <c r="O72" s="1"/>
  <c r="L72"/>
  <c r="H100" i="6"/>
  <c r="H101" s="1"/>
  <c r="H94"/>
  <c r="H95" s="1"/>
  <c r="H105"/>
  <c r="H84"/>
  <c r="H85" s="1"/>
  <c r="H89"/>
  <c r="H90" s="1"/>
  <c r="H78"/>
  <c r="H79" s="1"/>
  <c r="H116"/>
  <c r="H26" i="12"/>
  <c r="F172" i="17"/>
  <c r="F195" i="11"/>
  <c r="F154"/>
  <c r="F185"/>
  <c r="F184"/>
  <c r="I172" i="16"/>
  <c r="I10" i="14"/>
  <c r="A41" i="5"/>
  <c r="K41" i="4" s="1"/>
  <c r="L41"/>
  <c r="D104" i="9"/>
  <c r="G111" i="12"/>
  <c r="G112" s="1"/>
  <c r="G28"/>
  <c r="G29" s="1"/>
  <c r="F160" i="18"/>
  <c r="F172" i="16"/>
  <c r="F172" i="9"/>
  <c r="AJ9" i="4"/>
  <c r="N71" i="3"/>
  <c r="O71" s="1"/>
  <c r="L71"/>
  <c r="D104" i="13"/>
  <c r="D212" i="18"/>
  <c r="D189"/>
  <c r="D188" s="1"/>
  <c r="E132" i="2"/>
  <c r="E131"/>
  <c r="E134"/>
  <c r="E133"/>
  <c r="I195" i="11"/>
  <c r="I154"/>
  <c r="I185"/>
  <c r="I184"/>
  <c r="Y4" i="4"/>
  <c r="B67" i="11"/>
  <c r="A67" s="1"/>
  <c r="N74" i="3"/>
  <c r="O74" s="1"/>
  <c r="L74"/>
  <c r="N52"/>
  <c r="O52" s="1"/>
  <c r="L52"/>
  <c r="N62"/>
  <c r="O62" s="1"/>
  <c r="L62"/>
  <c r="D128" i="2"/>
  <c r="D121"/>
  <c r="D122" s="1"/>
  <c r="I110" i="17"/>
  <c r="I111" s="1"/>
  <c r="I113" s="1"/>
  <c r="I110" i="16"/>
  <c r="I111" s="1"/>
  <c r="I113" s="1"/>
  <c r="I109" i="6"/>
  <c r="I110" s="1"/>
  <c r="I112" s="1"/>
  <c r="I110" i="9"/>
  <c r="I111" s="1"/>
  <c r="I113" s="1"/>
  <c r="I110" i="4"/>
  <c r="I111" s="1"/>
  <c r="I113" s="1"/>
  <c r="I172" i="3"/>
  <c r="I173" s="1"/>
  <c r="G185" i="11"/>
  <c r="G184"/>
  <c r="G195"/>
  <c r="G154"/>
  <c r="F40" i="2"/>
  <c r="C38"/>
  <c r="G172" i="4"/>
  <c r="G10" i="14"/>
  <c r="E110" i="13"/>
  <c r="E187" i="12"/>
  <c r="E186"/>
  <c r="E170"/>
  <c r="E171" s="1"/>
  <c r="E114" i="13" s="1"/>
  <c r="E148" i="12"/>
  <c r="D282" i="11"/>
  <c r="E282" s="1"/>
  <c r="D220" i="17"/>
  <c r="I116" s="1"/>
  <c r="D108" i="11"/>
  <c r="D205" i="16"/>
  <c r="F116" s="1"/>
  <c r="D77" i="13"/>
  <c r="F26" i="12"/>
  <c r="B15" i="13"/>
  <c r="A15" s="1"/>
  <c r="C211" i="12"/>
  <c r="D113" i="9"/>
  <c r="C19" i="4" l="1"/>
  <c r="C19" i="6"/>
  <c r="B19" s="1"/>
  <c r="A19" s="1"/>
  <c r="C19" i="16"/>
  <c r="B19" s="1"/>
  <c r="A19" s="1"/>
  <c r="C19" i="17"/>
  <c r="B19" s="1"/>
  <c r="A19" s="1"/>
  <c r="C19" i="9"/>
  <c r="B19" s="1"/>
  <c r="A19" s="1"/>
  <c r="C110" i="18"/>
  <c r="C112" s="1"/>
  <c r="C100"/>
  <c r="C19" i="11" s="1"/>
  <c r="B19" s="1"/>
  <c r="A19" s="1"/>
  <c r="C110" i="12"/>
  <c r="C112" s="1"/>
  <c r="C100"/>
  <c r="C19" i="13" s="1"/>
  <c r="B19" s="1"/>
  <c r="A19" s="1"/>
  <c r="D113" i="16"/>
  <c r="D106" s="1"/>
  <c r="D107" s="1"/>
  <c r="D108" s="1"/>
  <c r="D113" i="4"/>
  <c r="D84" s="1"/>
  <c r="C11" i="9"/>
  <c r="C110" i="3"/>
  <c r="C112" s="1"/>
  <c r="E277" i="11"/>
  <c r="F27" i="12"/>
  <c r="D200" i="9"/>
  <c r="E116" s="1"/>
  <c r="R79" i="18"/>
  <c r="G27"/>
  <c r="D78" i="13"/>
  <c r="D200" i="4"/>
  <c r="E116" s="1"/>
  <c r="O79" i="18"/>
  <c r="O84" s="1"/>
  <c r="H27"/>
  <c r="X79"/>
  <c r="X90" s="1"/>
  <c r="D27" i="12"/>
  <c r="D28" s="1"/>
  <c r="D33" s="1"/>
  <c r="D96" s="1"/>
  <c r="E28"/>
  <c r="E29" s="1"/>
  <c r="E30" s="1"/>
  <c r="E31" s="1"/>
  <c r="E32" s="1"/>
  <c r="E33" s="1"/>
  <c r="E95" s="1"/>
  <c r="C189" i="18"/>
  <c r="E111" i="12"/>
  <c r="E11" i="9"/>
  <c r="E10" i="6"/>
  <c r="E131" s="1"/>
  <c r="B33" i="3"/>
  <c r="A280" s="1"/>
  <c r="E10" i="17"/>
  <c r="E96" i="3"/>
  <c r="E97" s="1"/>
  <c r="E10" i="4"/>
  <c r="E9" i="8" s="1"/>
  <c r="E10" i="9"/>
  <c r="E132" s="1"/>
  <c r="E11" i="16"/>
  <c r="E113" i="3"/>
  <c r="E110"/>
  <c r="E112" s="1"/>
  <c r="E11" i="4"/>
  <c r="F23" i="2" s="1"/>
  <c r="E10" i="16"/>
  <c r="S33" i="3"/>
  <c r="E11" i="6"/>
  <c r="E9" i="10"/>
  <c r="E11" i="17"/>
  <c r="C11" i="16"/>
  <c r="U79" i="18"/>
  <c r="U90" s="1"/>
  <c r="L79"/>
  <c r="I27"/>
  <c r="I27" i="12"/>
  <c r="C11" i="4"/>
  <c r="D23" i="2" s="1"/>
  <c r="G174" i="4"/>
  <c r="G178" s="1"/>
  <c r="G181" s="1"/>
  <c r="G182" s="1"/>
  <c r="D27" i="18"/>
  <c r="D28" s="1"/>
  <c r="D33" s="1"/>
  <c r="D10" i="11" s="1"/>
  <c r="B6" i="3"/>
  <c r="B7" i="16" s="1"/>
  <c r="H27" i="12"/>
  <c r="C11" i="17"/>
  <c r="D87" i="11"/>
  <c r="C11" i="6"/>
  <c r="C177" s="1"/>
  <c r="C95" i="3"/>
  <c r="E136" i="2"/>
  <c r="D117" i="4"/>
  <c r="I174"/>
  <c r="I178" s="1"/>
  <c r="I181" s="1"/>
  <c r="I182" s="1"/>
  <c r="D10" i="13"/>
  <c r="D16" s="1"/>
  <c r="B16" s="1"/>
  <c r="A16" s="1"/>
  <c r="D11"/>
  <c r="E27" i="18"/>
  <c r="E28" s="1"/>
  <c r="E29" s="1"/>
  <c r="E30" s="1"/>
  <c r="E31" s="1"/>
  <c r="E32" s="1"/>
  <c r="E33" s="1"/>
  <c r="E95" s="1"/>
  <c r="G112" i="9"/>
  <c r="G112" i="17"/>
  <c r="I112" i="16"/>
  <c r="AE47" i="3"/>
  <c r="I112" i="13"/>
  <c r="H176" i="17"/>
  <c r="H178"/>
  <c r="H181" s="1"/>
  <c r="H182" s="1"/>
  <c r="I178" i="9"/>
  <c r="I181" s="1"/>
  <c r="I182" s="1"/>
  <c r="I176"/>
  <c r="O84" i="12"/>
  <c r="D101" i="9"/>
  <c r="D102" s="1"/>
  <c r="D106"/>
  <c r="D107" s="1"/>
  <c r="D108" s="1"/>
  <c r="D74"/>
  <c r="D85"/>
  <c r="D86" s="1"/>
  <c r="D79"/>
  <c r="D80" s="1"/>
  <c r="D81" s="1"/>
  <c r="D82" s="1"/>
  <c r="D90"/>
  <c r="D91" s="1"/>
  <c r="D95"/>
  <c r="D96" s="1"/>
  <c r="D117"/>
  <c r="D89"/>
  <c r="D72"/>
  <c r="D73" s="1"/>
  <c r="D100"/>
  <c r="D94"/>
  <c r="D84"/>
  <c r="C212" i="12"/>
  <c r="C189"/>
  <c r="F178" i="16"/>
  <c r="F181" s="1"/>
  <c r="F182" s="1"/>
  <c r="F176"/>
  <c r="C95" i="18"/>
  <c r="C11" i="11"/>
  <c r="E187" i="18"/>
  <c r="E186"/>
  <c r="E148"/>
  <c r="E170"/>
  <c r="E171" s="1"/>
  <c r="E134" i="11" s="1"/>
  <c r="E128"/>
  <c r="G176" i="16"/>
  <c r="G178"/>
  <c r="G181" s="1"/>
  <c r="G182" s="1"/>
  <c r="H176" i="9"/>
  <c r="H178"/>
  <c r="H181" s="1"/>
  <c r="H182" s="1"/>
  <c r="I148" i="18"/>
  <c r="I170"/>
  <c r="I171" s="1"/>
  <c r="I134" i="11" s="1"/>
  <c r="I128"/>
  <c r="I129" s="1"/>
  <c r="I131" s="1"/>
  <c r="D100" i="6"/>
  <c r="D101" s="1"/>
  <c r="D94"/>
  <c r="D95" s="1"/>
  <c r="D105"/>
  <c r="D106" s="1"/>
  <c r="D107" s="1"/>
  <c r="D89"/>
  <c r="D90" s="1"/>
  <c r="D78"/>
  <c r="D79" s="1"/>
  <c r="D80" s="1"/>
  <c r="D81" s="1"/>
  <c r="D73"/>
  <c r="D84"/>
  <c r="D116"/>
  <c r="D99"/>
  <c r="D88"/>
  <c r="D71"/>
  <c r="D72" s="1"/>
  <c r="D83"/>
  <c r="D93"/>
  <c r="G173" i="13"/>
  <c r="G175" s="1"/>
  <c r="G21" i="14"/>
  <c r="D158" i="6"/>
  <c r="D177"/>
  <c r="X15" i="4" s="1"/>
  <c r="D149" i="6"/>
  <c r="B149" s="1"/>
  <c r="A149" s="1"/>
  <c r="D16"/>
  <c r="B16" s="1"/>
  <c r="A16" s="1"/>
  <c r="D17"/>
  <c r="B17" s="1"/>
  <c r="A17" s="1"/>
  <c r="D13"/>
  <c r="I21" i="14"/>
  <c r="I176" i="17"/>
  <c r="I178"/>
  <c r="I181" s="1"/>
  <c r="I182" s="1"/>
  <c r="G90"/>
  <c r="G91" s="1"/>
  <c r="G106"/>
  <c r="G85"/>
  <c r="G86" s="1"/>
  <c r="G79"/>
  <c r="G80" s="1"/>
  <c r="G95"/>
  <c r="G96" s="1"/>
  <c r="G101"/>
  <c r="G102" s="1"/>
  <c r="G117"/>
  <c r="H21" i="14"/>
  <c r="E169" i="17"/>
  <c r="E168"/>
  <c r="E132"/>
  <c r="I101" i="13"/>
  <c r="I102" s="1"/>
  <c r="I95"/>
  <c r="I96" s="1"/>
  <c r="I106"/>
  <c r="I85"/>
  <c r="I86" s="1"/>
  <c r="I79"/>
  <c r="I80" s="1"/>
  <c r="I90"/>
  <c r="I91" s="1"/>
  <c r="I117"/>
  <c r="I111" i="6"/>
  <c r="L79" i="3"/>
  <c r="G27" i="12"/>
  <c r="G112" i="4"/>
  <c r="G187" i="11"/>
  <c r="G189" s="1"/>
  <c r="I89" i="6"/>
  <c r="I90" s="1"/>
  <c r="I100"/>
  <c r="I101" s="1"/>
  <c r="I94"/>
  <c r="I95" s="1"/>
  <c r="I105"/>
  <c r="I84"/>
  <c r="I85" s="1"/>
  <c r="I78"/>
  <c r="I79" s="1"/>
  <c r="I116"/>
  <c r="I106" i="17"/>
  <c r="I90"/>
  <c r="I91" s="1"/>
  <c r="I101"/>
  <c r="I102" s="1"/>
  <c r="I95"/>
  <c r="I96" s="1"/>
  <c r="I85"/>
  <c r="I86" s="1"/>
  <c r="I79"/>
  <c r="I80" s="1"/>
  <c r="I117"/>
  <c r="D213" i="18"/>
  <c r="D214"/>
  <c r="I178" i="16"/>
  <c r="I181" s="1"/>
  <c r="I182" s="1"/>
  <c r="I176"/>
  <c r="F187" i="11"/>
  <c r="F189" s="1"/>
  <c r="B205"/>
  <c r="D205" s="1"/>
  <c r="D206" s="1"/>
  <c r="C136" s="1"/>
  <c r="B251"/>
  <c r="D251" s="1"/>
  <c r="D252" s="1"/>
  <c r="Z86" i="18"/>
  <c r="F38" i="13"/>
  <c r="F39" s="1"/>
  <c r="F41"/>
  <c r="F42" s="1"/>
  <c r="G176" i="9"/>
  <c r="G178"/>
  <c r="G181" s="1"/>
  <c r="G182" s="1"/>
  <c r="C110" i="17"/>
  <c r="C110" i="16"/>
  <c r="C110" i="9"/>
  <c r="C109" i="6"/>
  <c r="C110" i="4"/>
  <c r="C189" i="3"/>
  <c r="C190" s="1"/>
  <c r="C188"/>
  <c r="C172"/>
  <c r="C173" s="1"/>
  <c r="C162"/>
  <c r="C163" s="1"/>
  <c r="C164" s="1"/>
  <c r="C105" i="17" s="1"/>
  <c r="D9" i="21"/>
  <c r="D9" i="8"/>
  <c r="D16" i="4"/>
  <c r="B16" s="1"/>
  <c r="A16" s="1"/>
  <c r="D159"/>
  <c r="D150"/>
  <c r="B150" s="1"/>
  <c r="A150" s="1"/>
  <c r="D17"/>
  <c r="B17" s="1"/>
  <c r="A17" s="1"/>
  <c r="D13"/>
  <c r="D159" i="9"/>
  <c r="D150"/>
  <c r="B150" s="1"/>
  <c r="A150" s="1"/>
  <c r="D16"/>
  <c r="B16" s="1"/>
  <c r="A16" s="1"/>
  <c r="D17"/>
  <c r="B17" s="1"/>
  <c r="A17" s="1"/>
  <c r="D13"/>
  <c r="B13" s="1"/>
  <c r="A13" s="1"/>
  <c r="D159" i="17"/>
  <c r="D150"/>
  <c r="B150" s="1"/>
  <c r="A150" s="1"/>
  <c r="D16"/>
  <c r="B16" s="1"/>
  <c r="A16" s="1"/>
  <c r="D17"/>
  <c r="B17" s="1"/>
  <c r="A17" s="1"/>
  <c r="D13"/>
  <c r="B13" s="1"/>
  <c r="A13" s="1"/>
  <c r="F16" i="14"/>
  <c r="F172" i="13"/>
  <c r="F18" i="14" s="1"/>
  <c r="I16"/>
  <c r="I172" i="13"/>
  <c r="I18" i="14" s="1"/>
  <c r="G114" i="17"/>
  <c r="G114" i="16"/>
  <c r="G114" i="9"/>
  <c r="G113" i="6"/>
  <c r="G114" i="4"/>
  <c r="G106"/>
  <c r="G79"/>
  <c r="G80" s="1"/>
  <c r="G90"/>
  <c r="G91" s="1"/>
  <c r="G101"/>
  <c r="G102" s="1"/>
  <c r="G95"/>
  <c r="G96" s="1"/>
  <c r="G85"/>
  <c r="G117"/>
  <c r="G105" i="6"/>
  <c r="G78"/>
  <c r="G79" s="1"/>
  <c r="G89"/>
  <c r="G90" s="1"/>
  <c r="G100"/>
  <c r="G101" s="1"/>
  <c r="G94"/>
  <c r="G95" s="1"/>
  <c r="G84"/>
  <c r="G116"/>
  <c r="G106" i="9"/>
  <c r="G101"/>
  <c r="G102" s="1"/>
  <c r="G85"/>
  <c r="G86" s="1"/>
  <c r="G79"/>
  <c r="G80" s="1"/>
  <c r="G90"/>
  <c r="G91" s="1"/>
  <c r="G95"/>
  <c r="G96" s="1"/>
  <c r="G117"/>
  <c r="H172" i="13"/>
  <c r="H18" i="14" s="1"/>
  <c r="H16"/>
  <c r="H174" i="4"/>
  <c r="G112" i="16"/>
  <c r="C11" i="13"/>
  <c r="C95" i="12"/>
  <c r="G188" i="11"/>
  <c r="I114" i="17"/>
  <c r="I114" i="16"/>
  <c r="I113" i="6"/>
  <c r="I114" i="9"/>
  <c r="I114" i="4"/>
  <c r="I187" i="11"/>
  <c r="I189" s="1"/>
  <c r="D142"/>
  <c r="D129"/>
  <c r="D130" s="1"/>
  <c r="F178" i="9"/>
  <c r="F181" s="1"/>
  <c r="F182" s="1"/>
  <c r="F176"/>
  <c r="F188" i="11"/>
  <c r="F178" i="17"/>
  <c r="F181" s="1"/>
  <c r="F182" s="1"/>
  <c r="F176"/>
  <c r="C214" i="18"/>
  <c r="C213"/>
  <c r="C151" s="1"/>
  <c r="C152" s="1"/>
  <c r="C159" s="1"/>
  <c r="Z87" i="12"/>
  <c r="I38" i="13"/>
  <c r="I39" s="1"/>
  <c r="I41"/>
  <c r="I42" s="1"/>
  <c r="G178" i="17"/>
  <c r="G181" s="1"/>
  <c r="G182" s="1"/>
  <c r="G176"/>
  <c r="H38" i="13"/>
  <c r="H39" s="1"/>
  <c r="H41"/>
  <c r="H42" s="1"/>
  <c r="D8" i="7"/>
  <c r="E23" i="2"/>
  <c r="F173" i="13"/>
  <c r="F175" s="1"/>
  <c r="F21" i="14"/>
  <c r="I173" i="13"/>
  <c r="I175" s="1"/>
  <c r="H110"/>
  <c r="H111" s="1"/>
  <c r="H113" s="1"/>
  <c r="H170" i="12"/>
  <c r="H171" s="1"/>
  <c r="H114" i="13" s="1"/>
  <c r="H148" i="12"/>
  <c r="H187" i="11"/>
  <c r="H189" s="1"/>
  <c r="G106" i="16"/>
  <c r="G85"/>
  <c r="G86" s="1"/>
  <c r="G79"/>
  <c r="G80" s="1"/>
  <c r="G90"/>
  <c r="G91" s="1"/>
  <c r="G101"/>
  <c r="G102" s="1"/>
  <c r="G95"/>
  <c r="G96" s="1"/>
  <c r="G117"/>
  <c r="H173" i="13"/>
  <c r="H175" s="1"/>
  <c r="D214" i="12"/>
  <c r="D213"/>
  <c r="R90"/>
  <c r="AB85"/>
  <c r="O79" i="3"/>
  <c r="G111" i="6"/>
  <c r="AE79" i="12"/>
  <c r="I90" i="4"/>
  <c r="I91" s="1"/>
  <c r="I101"/>
  <c r="I102" s="1"/>
  <c r="I95"/>
  <c r="I96" s="1"/>
  <c r="I106"/>
  <c r="I85"/>
  <c r="I86" s="1"/>
  <c r="I79"/>
  <c r="I80" s="1"/>
  <c r="I117"/>
  <c r="I101" i="9"/>
  <c r="I102" s="1"/>
  <c r="I95"/>
  <c r="I96" s="1"/>
  <c r="I85"/>
  <c r="I86" s="1"/>
  <c r="I79"/>
  <c r="I80" s="1"/>
  <c r="I106"/>
  <c r="I90"/>
  <c r="I91" s="1"/>
  <c r="I117"/>
  <c r="I106" i="16"/>
  <c r="I90"/>
  <c r="I91" s="1"/>
  <c r="I101"/>
  <c r="I102" s="1"/>
  <c r="I95"/>
  <c r="I96" s="1"/>
  <c r="I85"/>
  <c r="I86" s="1"/>
  <c r="I79"/>
  <c r="I80" s="1"/>
  <c r="I117"/>
  <c r="D134" i="2"/>
  <c r="D132"/>
  <c r="D131"/>
  <c r="D133"/>
  <c r="I188" i="11"/>
  <c r="F148" i="18"/>
  <c r="F170"/>
  <c r="F171" s="1"/>
  <c r="F134" i="11" s="1"/>
  <c r="F187" i="18"/>
  <c r="F186"/>
  <c r="F128" i="11"/>
  <c r="D85" i="17"/>
  <c r="D86" s="1"/>
  <c r="D79"/>
  <c r="D80" s="1"/>
  <c r="D81" s="1"/>
  <c r="D82" s="1"/>
  <c r="D101"/>
  <c r="D102" s="1"/>
  <c r="D95"/>
  <c r="D96" s="1"/>
  <c r="D106"/>
  <c r="D107" s="1"/>
  <c r="D108" s="1"/>
  <c r="D74"/>
  <c r="D90"/>
  <c r="D91" s="1"/>
  <c r="D117"/>
  <c r="D100"/>
  <c r="D89"/>
  <c r="D84"/>
  <c r="D72"/>
  <c r="D73" s="1"/>
  <c r="D94"/>
  <c r="G38" i="13"/>
  <c r="G39" s="1"/>
  <c r="G41"/>
  <c r="G42" s="1"/>
  <c r="G110"/>
  <c r="G111" s="1"/>
  <c r="G113" s="1"/>
  <c r="G148" i="12"/>
  <c r="G170"/>
  <c r="G171" s="1"/>
  <c r="G114" i="13" s="1"/>
  <c r="H176" i="16"/>
  <c r="H178"/>
  <c r="H181" s="1"/>
  <c r="H182" s="1"/>
  <c r="G16" i="14"/>
  <c r="G172" i="13"/>
  <c r="G18" i="14" s="1"/>
  <c r="I169" i="6"/>
  <c r="E169"/>
  <c r="F169"/>
  <c r="G169"/>
  <c r="H169"/>
  <c r="V6" i="4"/>
  <c r="G170" i="18"/>
  <c r="G171" s="1"/>
  <c r="G134" i="11" s="1"/>
  <c r="G148" i="18"/>
  <c r="G128" i="11"/>
  <c r="G129" s="1"/>
  <c r="G131" s="1"/>
  <c r="D159" i="16"/>
  <c r="D150"/>
  <c r="B150" s="1"/>
  <c r="A150" s="1"/>
  <c r="D16"/>
  <c r="B16" s="1"/>
  <c r="A16" s="1"/>
  <c r="D17"/>
  <c r="B17" s="1"/>
  <c r="A17" s="1"/>
  <c r="D13"/>
  <c r="B13" s="1"/>
  <c r="A13" s="1"/>
  <c r="H188" i="11"/>
  <c r="H170" i="18"/>
  <c r="H171" s="1"/>
  <c r="H134" i="11" s="1"/>
  <c r="H148" i="18"/>
  <c r="H128" i="11"/>
  <c r="H129" s="1"/>
  <c r="H131" s="1"/>
  <c r="E169" i="16"/>
  <c r="E168"/>
  <c r="E132"/>
  <c r="D120" i="13"/>
  <c r="D111"/>
  <c r="D112" s="1"/>
  <c r="I112" i="4"/>
  <c r="I112" i="9"/>
  <c r="I112" i="17"/>
  <c r="F174" i="4"/>
  <c r="D79" i="16" l="1"/>
  <c r="D80" s="1"/>
  <c r="D81" s="1"/>
  <c r="D82" s="1"/>
  <c r="D89" i="4"/>
  <c r="D36" i="2"/>
  <c r="C36" s="1"/>
  <c r="B19" i="4"/>
  <c r="A19" s="1"/>
  <c r="D85" i="16"/>
  <c r="D86" s="1"/>
  <c r="D74"/>
  <c r="D94"/>
  <c r="D72"/>
  <c r="D73" s="1"/>
  <c r="D95"/>
  <c r="D96" s="1"/>
  <c r="D101"/>
  <c r="D102" s="1"/>
  <c r="B11" i="9"/>
  <c r="D84" i="16"/>
  <c r="D100"/>
  <c r="D90"/>
  <c r="D91" s="1"/>
  <c r="D89"/>
  <c r="D117"/>
  <c r="D94" i="4"/>
  <c r="D72"/>
  <c r="D73" s="1"/>
  <c r="D74"/>
  <c r="D90"/>
  <c r="D91" s="1"/>
  <c r="D79"/>
  <c r="D80" s="1"/>
  <c r="D81" s="1"/>
  <c r="D82" s="1"/>
  <c r="D101"/>
  <c r="D102" s="1"/>
  <c r="D106"/>
  <c r="D107" s="1"/>
  <c r="D108" s="1"/>
  <c r="D95"/>
  <c r="D96" s="1"/>
  <c r="D100"/>
  <c r="D85"/>
  <c r="D96" i="18"/>
  <c r="B11" i="17"/>
  <c r="B11" i="16"/>
  <c r="E9" i="21"/>
  <c r="E169" i="4"/>
  <c r="E5" i="14" s="1"/>
  <c r="D11" i="11"/>
  <c r="D281" i="3"/>
  <c r="D43" i="5" s="1"/>
  <c r="D44" s="1"/>
  <c r="E11" i="13"/>
  <c r="E10"/>
  <c r="E132" s="1"/>
  <c r="B6" i="12"/>
  <c r="B7" i="13" s="1"/>
  <c r="E110" i="12"/>
  <c r="E96"/>
  <c r="E97" s="1"/>
  <c r="E113"/>
  <c r="S33"/>
  <c r="E112"/>
  <c r="E11" i="11"/>
  <c r="E8" i="7"/>
  <c r="E169" i="9"/>
  <c r="C281" i="3"/>
  <c r="C43" i="5" s="1"/>
  <c r="B43" s="1"/>
  <c r="B6"/>
  <c r="B93" s="1"/>
  <c r="H96" s="1"/>
  <c r="D150" i="13"/>
  <c r="B150" s="1"/>
  <c r="A150" s="1"/>
  <c r="E168" i="9"/>
  <c r="B6" i="10"/>
  <c r="D13" i="13"/>
  <c r="B13" s="1"/>
  <c r="A13" s="1"/>
  <c r="E168" i="4"/>
  <c r="B11"/>
  <c r="G176"/>
  <c r="AE79" i="18"/>
  <c r="AD81" s="1"/>
  <c r="AD82" s="1"/>
  <c r="D159" i="13"/>
  <c r="B11" i="6"/>
  <c r="C5" i="3"/>
  <c r="C106" s="1"/>
  <c r="B7" i="9"/>
  <c r="C16" i="2"/>
  <c r="J44" s="1"/>
  <c r="B7" i="6"/>
  <c r="B7" i="17"/>
  <c r="D17" i="13"/>
  <c r="B17" s="1"/>
  <c r="A17" s="1"/>
  <c r="B7" i="4"/>
  <c r="G190" i="11"/>
  <c r="G194" s="1"/>
  <c r="G197" s="1"/>
  <c r="G198" s="1"/>
  <c r="E110" i="18"/>
  <c r="E112" s="1"/>
  <c r="C8" i="7"/>
  <c r="E113" i="18"/>
  <c r="B6"/>
  <c r="B7" i="11" s="1"/>
  <c r="I176" i="4"/>
  <c r="S33" i="18"/>
  <c r="E10" i="11"/>
  <c r="E96" i="18"/>
  <c r="E97" s="1"/>
  <c r="H190" i="11"/>
  <c r="H194" s="1"/>
  <c r="H197" s="1"/>
  <c r="H198" s="1"/>
  <c r="F190"/>
  <c r="F192" s="1"/>
  <c r="D169" i="4"/>
  <c r="D5" i="14" s="1"/>
  <c r="E252" i="11"/>
  <c r="D131"/>
  <c r="D102" s="1"/>
  <c r="D113" i="13"/>
  <c r="D94" s="1"/>
  <c r="G130" i="11"/>
  <c r="I190"/>
  <c r="I192" s="1"/>
  <c r="H193"/>
  <c r="H196" s="1"/>
  <c r="H199" s="1"/>
  <c r="H191"/>
  <c r="F179" i="13"/>
  <c r="F182" s="1"/>
  <c r="F183" s="1"/>
  <c r="F177"/>
  <c r="G191" i="11"/>
  <c r="G193"/>
  <c r="G196" s="1"/>
  <c r="G199" s="1"/>
  <c r="G179" i="13"/>
  <c r="G182" s="1"/>
  <c r="G183" s="1"/>
  <c r="G177"/>
  <c r="I193" i="11"/>
  <c r="I196" s="1"/>
  <c r="I199" s="1"/>
  <c r="I191"/>
  <c r="F191"/>
  <c r="F193"/>
  <c r="F196" s="1"/>
  <c r="F199" s="1"/>
  <c r="F176" i="4"/>
  <c r="F178"/>
  <c r="F181" s="1"/>
  <c r="F182" s="1"/>
  <c r="AI9"/>
  <c r="G103" i="11"/>
  <c r="G104" s="1"/>
  <c r="G96"/>
  <c r="G97" s="1"/>
  <c r="G123"/>
  <c r="G117"/>
  <c r="G118" s="1"/>
  <c r="G110"/>
  <c r="G111" s="1"/>
  <c r="G88"/>
  <c r="G89" s="1"/>
  <c r="G137"/>
  <c r="Z7" i="4"/>
  <c r="G79" i="13"/>
  <c r="G80" s="1"/>
  <c r="G90"/>
  <c r="G91" s="1"/>
  <c r="G101"/>
  <c r="G102" s="1"/>
  <c r="G95"/>
  <c r="G96" s="1"/>
  <c r="G106"/>
  <c r="G85"/>
  <c r="G117"/>
  <c r="O84" i="3"/>
  <c r="B11" i="13"/>
  <c r="H178" i="4"/>
  <c r="H181" s="1"/>
  <c r="H182" s="1"/>
  <c r="H176"/>
  <c r="C114" i="17"/>
  <c r="C114" i="16"/>
  <c r="C114" i="9"/>
  <c r="C113" i="6"/>
  <c r="C114" i="4"/>
  <c r="AE79" i="3"/>
  <c r="D178" i="6"/>
  <c r="B13"/>
  <c r="A13" s="1"/>
  <c r="D168" i="16"/>
  <c r="G112" i="13"/>
  <c r="C71" i="4"/>
  <c r="C93"/>
  <c r="C76" i="6"/>
  <c r="C88" i="9"/>
  <c r="C77"/>
  <c r="C104" i="6"/>
  <c r="C99" i="9"/>
  <c r="C77" i="16"/>
  <c r="C105"/>
  <c r="C77" i="17"/>
  <c r="C99"/>
  <c r="D74" i="6"/>
  <c r="D97" s="1"/>
  <c r="D120" s="1"/>
  <c r="D121" s="1"/>
  <c r="D123" i="2"/>
  <c r="D124" s="1"/>
  <c r="C124" s="1"/>
  <c r="F41"/>
  <c r="F147" s="1"/>
  <c r="E123"/>
  <c r="H110" i="11"/>
  <c r="H111" s="1"/>
  <c r="H88"/>
  <c r="H89" s="1"/>
  <c r="H103"/>
  <c r="H104" s="1"/>
  <c r="H96"/>
  <c r="H97" s="1"/>
  <c r="H123"/>
  <c r="H117"/>
  <c r="H118" s="1"/>
  <c r="H137"/>
  <c r="AA7" i="4"/>
  <c r="H177" i="13"/>
  <c r="H179"/>
  <c r="H182" s="1"/>
  <c r="H183" s="1"/>
  <c r="I177"/>
  <c r="I179"/>
  <c r="I182" s="1"/>
  <c r="I183" s="1"/>
  <c r="E67" i="2"/>
  <c r="E135" s="1"/>
  <c r="C160" i="18"/>
  <c r="R90"/>
  <c r="AB85"/>
  <c r="I123" i="11"/>
  <c r="I117"/>
  <c r="I118" s="1"/>
  <c r="I110"/>
  <c r="I111" s="1"/>
  <c r="I88"/>
  <c r="I89" s="1"/>
  <c r="I103"/>
  <c r="I104" s="1"/>
  <c r="I96"/>
  <c r="I97" s="1"/>
  <c r="I137"/>
  <c r="C214" i="12"/>
  <c r="C213"/>
  <c r="C151" s="1"/>
  <c r="C152" s="1"/>
  <c r="C159" s="1"/>
  <c r="H130" i="11"/>
  <c r="D169" i="9"/>
  <c r="C70" i="6"/>
  <c r="C71" i="9"/>
  <c r="C98" i="6"/>
  <c r="C93" i="9"/>
  <c r="C71" i="16"/>
  <c r="C99"/>
  <c r="C71" i="17"/>
  <c r="C93"/>
  <c r="I130" i="11"/>
  <c r="C104" i="3"/>
  <c r="C107"/>
  <c r="AB7" i="4"/>
  <c r="AC7"/>
  <c r="AD84" i="12"/>
  <c r="AB87"/>
  <c r="AB88" s="1"/>
  <c r="O85"/>
  <c r="O86" s="1"/>
  <c r="O90" s="1"/>
  <c r="U81"/>
  <c r="U82" s="1"/>
  <c r="U83" s="1"/>
  <c r="U84" s="1"/>
  <c r="U85" s="1"/>
  <c r="O81"/>
  <c r="O83" s="1"/>
  <c r="AD81"/>
  <c r="AD82" s="1"/>
  <c r="Z81"/>
  <c r="Z82" s="1"/>
  <c r="Z83" s="1"/>
  <c r="Z84" s="1"/>
  <c r="Z85" s="1"/>
  <c r="R81"/>
  <c r="R82" s="1"/>
  <c r="R83" s="1"/>
  <c r="R84" s="1"/>
  <c r="L81"/>
  <c r="L82" s="1"/>
  <c r="L83" s="1"/>
  <c r="L84" s="1"/>
  <c r="L85" s="1"/>
  <c r="L90" s="1"/>
  <c r="AB81"/>
  <c r="AB82" s="1"/>
  <c r="AB83" s="1"/>
  <c r="X81"/>
  <c r="X82" s="1"/>
  <c r="X83" s="1"/>
  <c r="X84" s="1"/>
  <c r="C23" i="2"/>
  <c r="H106" i="13"/>
  <c r="H85"/>
  <c r="H86" s="1"/>
  <c r="H79"/>
  <c r="H80" s="1"/>
  <c r="H90"/>
  <c r="H91" s="1"/>
  <c r="H101"/>
  <c r="H102" s="1"/>
  <c r="H95"/>
  <c r="H96" s="1"/>
  <c r="H117"/>
  <c r="D175" i="11"/>
  <c r="D16"/>
  <c r="B16" s="1"/>
  <c r="A16" s="1"/>
  <c r="D17"/>
  <c r="B17" s="1"/>
  <c r="A17" s="1"/>
  <c r="D172"/>
  <c r="B172" s="1"/>
  <c r="A172" s="1"/>
  <c r="D13"/>
  <c r="B13" s="1"/>
  <c r="A13" s="1"/>
  <c r="C120" i="16"/>
  <c r="C120" i="17"/>
  <c r="C120" i="4"/>
  <c r="C119" i="6"/>
  <c r="C120" i="9"/>
  <c r="C110" i="6"/>
  <c r="C111" i="4"/>
  <c r="C111" i="16"/>
  <c r="C111" i="17"/>
  <c r="C111" i="9"/>
  <c r="D169" i="17"/>
  <c r="D168" i="9"/>
  <c r="C105" i="4"/>
  <c r="C92" i="6"/>
  <c r="C93" i="16"/>
  <c r="C83" i="17"/>
  <c r="C88"/>
  <c r="D75" i="9"/>
  <c r="D98" s="1"/>
  <c r="D121" s="1"/>
  <c r="D122" s="1"/>
  <c r="Y7" i="4"/>
  <c r="D136" i="2"/>
  <c r="B177" i="6"/>
  <c r="W15" i="4"/>
  <c r="E34" i="2"/>
  <c r="B13" i="4"/>
  <c r="A13" s="1"/>
  <c r="AH9"/>
  <c r="D169" i="16"/>
  <c r="D75" i="17"/>
  <c r="D98" s="1"/>
  <c r="D121" s="1"/>
  <c r="D122" s="1"/>
  <c r="H112" i="13"/>
  <c r="Z88" i="12"/>
  <c r="D168" i="17"/>
  <c r="D168" i="4"/>
  <c r="C77"/>
  <c r="C99"/>
  <c r="C88"/>
  <c r="C83" i="9"/>
  <c r="C87" i="6"/>
  <c r="C105" i="9"/>
  <c r="C83" i="16"/>
  <c r="C88"/>
  <c r="Z87" i="18"/>
  <c r="D75" i="16" l="1"/>
  <c r="D98" s="1"/>
  <c r="D121" s="1"/>
  <c r="D122" s="1"/>
  <c r="D138" s="1"/>
  <c r="D75" i="4"/>
  <c r="D98" s="1"/>
  <c r="D121" s="1"/>
  <c r="D122" s="1"/>
  <c r="E150" i="2" s="1"/>
  <c r="D170" i="13"/>
  <c r="D169"/>
  <c r="E71" i="5"/>
  <c r="Z88" i="18"/>
  <c r="AB87"/>
  <c r="G71" i="5"/>
  <c r="C71"/>
  <c r="F174" i="6"/>
  <c r="Z12" i="4" s="1"/>
  <c r="E170" i="13"/>
  <c r="E16" i="14" s="1"/>
  <c r="D103" i="5"/>
  <c r="H100" s="1"/>
  <c r="L6" i="4"/>
  <c r="F103" i="5"/>
  <c r="H101" s="1"/>
  <c r="B19" s="1"/>
  <c r="L19" i="4" s="1"/>
  <c r="E169" i="13"/>
  <c r="D88" i="11"/>
  <c r="D89" s="1"/>
  <c r="F93" i="5"/>
  <c r="H98" s="1"/>
  <c r="B103"/>
  <c r="H99" s="1"/>
  <c r="D71"/>
  <c r="E185" i="11"/>
  <c r="B11"/>
  <c r="H192"/>
  <c r="D116"/>
  <c r="H71" i="5"/>
  <c r="D93"/>
  <c r="H97" s="1"/>
  <c r="O85" i="18"/>
  <c r="O86" s="1"/>
  <c r="O90" s="1"/>
  <c r="C5" i="12"/>
  <c r="L81" i="18"/>
  <c r="L82" s="1"/>
  <c r="L83" s="1"/>
  <c r="L84" s="1"/>
  <c r="L85" s="1"/>
  <c r="L90" s="1"/>
  <c r="AD84"/>
  <c r="D117" i="11"/>
  <c r="D118" s="1"/>
  <c r="N43" i="4"/>
  <c r="E184" i="11"/>
  <c r="G192"/>
  <c r="AB81" i="18"/>
  <c r="AB82" s="1"/>
  <c r="AB83" s="1"/>
  <c r="R81"/>
  <c r="R82" s="1"/>
  <c r="R83" s="1"/>
  <c r="R84" s="1"/>
  <c r="X81"/>
  <c r="X82" s="1"/>
  <c r="X83" s="1"/>
  <c r="X84" s="1"/>
  <c r="D101" i="13"/>
  <c r="D102" s="1"/>
  <c r="M43" i="4"/>
  <c r="U81" i="18"/>
  <c r="U82" s="1"/>
  <c r="U83" s="1"/>
  <c r="U84" s="1"/>
  <c r="U85" s="1"/>
  <c r="O81"/>
  <c r="C105" i="3"/>
  <c r="B30" i="6" s="1"/>
  <c r="D106" i="13"/>
  <c r="D107" s="1"/>
  <c r="D108" s="1"/>
  <c r="C44" i="5"/>
  <c r="M44" i="4" s="1"/>
  <c r="Z81" i="18"/>
  <c r="Z82" s="1"/>
  <c r="Z83" s="1"/>
  <c r="Z84" s="1"/>
  <c r="Z85" s="1"/>
  <c r="H49" i="2"/>
  <c r="E49"/>
  <c r="C115" i="3"/>
  <c r="B43" i="6" s="1"/>
  <c r="C103" i="3"/>
  <c r="B25" i="16" s="1"/>
  <c r="D95" i="13"/>
  <c r="D96" s="1"/>
  <c r="D74"/>
  <c r="C102" i="3"/>
  <c r="B21" i="16" s="1"/>
  <c r="D85" i="13"/>
  <c r="D79"/>
  <c r="D80" s="1"/>
  <c r="D81" s="1"/>
  <c r="D82" s="1"/>
  <c r="D100"/>
  <c r="D72"/>
  <c r="D73" s="1"/>
  <c r="D84"/>
  <c r="D117"/>
  <c r="D90"/>
  <c r="D91" s="1"/>
  <c r="G51" i="2"/>
  <c r="J29"/>
  <c r="H29"/>
  <c r="G49"/>
  <c r="E29"/>
  <c r="D29"/>
  <c r="D109" i="11"/>
  <c r="D81"/>
  <c r="D103"/>
  <c r="D104" s="1"/>
  <c r="D79"/>
  <c r="D80" s="1"/>
  <c r="D137"/>
  <c r="D96"/>
  <c r="D97" s="1"/>
  <c r="D95"/>
  <c r="D123"/>
  <c r="D124" s="1"/>
  <c r="D110"/>
  <c r="D111" s="1"/>
  <c r="J49" i="2"/>
  <c r="I44"/>
  <c r="J51"/>
  <c r="G44"/>
  <c r="F29"/>
  <c r="D49"/>
  <c r="A15"/>
  <c r="F44"/>
  <c r="E44"/>
  <c r="F51"/>
  <c r="D43"/>
  <c r="H51"/>
  <c r="H44"/>
  <c r="I51"/>
  <c r="F49"/>
  <c r="I194" i="11"/>
  <c r="I197" s="1"/>
  <c r="I198" s="1"/>
  <c r="B43" i="2"/>
  <c r="G29"/>
  <c r="I49"/>
  <c r="I29"/>
  <c r="D51"/>
  <c r="D44"/>
  <c r="E51"/>
  <c r="E154" i="11"/>
  <c r="C5" i="18"/>
  <c r="C106" s="1"/>
  <c r="B34" i="11" s="1"/>
  <c r="O82" i="12"/>
  <c r="C77" i="6"/>
  <c r="C78" i="9"/>
  <c r="F194" i="11"/>
  <c r="F197" s="1"/>
  <c r="F198" s="1"/>
  <c r="C78" i="16"/>
  <c r="D89" i="13"/>
  <c r="Z89" i="12"/>
  <c r="AB90" s="1"/>
  <c r="AD90" s="1"/>
  <c r="C112" i="9"/>
  <c r="C113" s="1"/>
  <c r="C112" i="6"/>
  <c r="C105" s="1"/>
  <c r="C106" s="1"/>
  <c r="C107" s="1"/>
  <c r="C111"/>
  <c r="C112" i="4"/>
  <c r="C113" s="1"/>
  <c r="C113" i="16"/>
  <c r="C74" s="1"/>
  <c r="C112"/>
  <c r="C78" i="17"/>
  <c r="C112"/>
  <c r="C113" s="1"/>
  <c r="C85" s="1"/>
  <c r="C86" s="1"/>
  <c r="C87" s="1"/>
  <c r="D138"/>
  <c r="D141"/>
  <c r="D141" i="9"/>
  <c r="D138"/>
  <c r="D140" i="6"/>
  <c r="D137"/>
  <c r="C160" i="12"/>
  <c r="C170" i="18"/>
  <c r="C171" s="1"/>
  <c r="C134" i="11" s="1"/>
  <c r="C148" i="18"/>
  <c r="C187"/>
  <c r="C188" s="1"/>
  <c r="C186"/>
  <c r="C128" i="11"/>
  <c r="C161" i="18"/>
  <c r="C162" s="1"/>
  <c r="C163" s="1"/>
  <c r="C101" i="11" s="1"/>
  <c r="B113" i="6"/>
  <c r="A113" s="1"/>
  <c r="D45" i="5"/>
  <c r="N44" i="4"/>
  <c r="D184" i="11"/>
  <c r="AB88" i="18"/>
  <c r="C78" i="4"/>
  <c r="C108" i="3"/>
  <c r="C114" s="1"/>
  <c r="D108"/>
  <c r="D114" s="1"/>
  <c r="E108"/>
  <c r="E114" s="1"/>
  <c r="L43" i="4"/>
  <c r="A43" i="5"/>
  <c r="K43" i="4" s="1"/>
  <c r="B114"/>
  <c r="A114" s="1"/>
  <c r="B114" i="17"/>
  <c r="A114" s="1"/>
  <c r="C107" i="18"/>
  <c r="C104"/>
  <c r="B26" i="11" s="1"/>
  <c r="C103" i="12"/>
  <c r="B25" i="13" s="1"/>
  <c r="C106" i="12"/>
  <c r="B34" i="13" s="1"/>
  <c r="C105" i="12"/>
  <c r="B30" i="13" s="1"/>
  <c r="C102" i="12"/>
  <c r="B21" i="13" s="1"/>
  <c r="C104" i="12"/>
  <c r="B26" i="13" s="1"/>
  <c r="C107" i="12"/>
  <c r="C115"/>
  <c r="B43" i="13" s="1"/>
  <c r="X16" i="4"/>
  <c r="B114" i="16"/>
  <c r="A114" s="1"/>
  <c r="D16" i="14"/>
  <c r="E40" i="2"/>
  <c r="C34"/>
  <c r="V15" i="4"/>
  <c r="B26" i="17"/>
  <c r="B26" i="16"/>
  <c r="B26" i="9"/>
  <c r="B26" i="6"/>
  <c r="B26" i="4"/>
  <c r="B34" i="17"/>
  <c r="B34" i="16"/>
  <c r="B34" i="9"/>
  <c r="B34" i="6"/>
  <c r="B34" i="4"/>
  <c r="AB87" i="3"/>
  <c r="AB88" s="1"/>
  <c r="O85"/>
  <c r="O86" s="1"/>
  <c r="O90" s="1"/>
  <c r="AD84"/>
  <c r="Z88"/>
  <c r="X81"/>
  <c r="X82" s="1"/>
  <c r="X83" s="1"/>
  <c r="X84" s="1"/>
  <c r="AB81"/>
  <c r="AB82" s="1"/>
  <c r="AB83" s="1"/>
  <c r="O81"/>
  <c r="O83" s="1"/>
  <c r="U81"/>
  <c r="U82" s="1"/>
  <c r="U83" s="1"/>
  <c r="U84" s="1"/>
  <c r="U85" s="1"/>
  <c r="Z81"/>
  <c r="Z82" s="1"/>
  <c r="Z83" s="1"/>
  <c r="Z84" s="1"/>
  <c r="Z85" s="1"/>
  <c r="AD81"/>
  <c r="AD82" s="1"/>
  <c r="L81"/>
  <c r="L82" s="1"/>
  <c r="L83" s="1"/>
  <c r="L84" s="1"/>
  <c r="L85" s="1"/>
  <c r="L90" s="1"/>
  <c r="R81"/>
  <c r="R82" s="1"/>
  <c r="R83" s="1"/>
  <c r="R84" s="1"/>
  <c r="B114" i="9"/>
  <c r="A114" s="1"/>
  <c r="D185" i="11"/>
  <c r="E41" i="2"/>
  <c r="E147" s="1"/>
  <c r="D141" i="16" l="1"/>
  <c r="D138" i="4"/>
  <c r="D139" s="1"/>
  <c r="D140" s="1"/>
  <c r="D141" s="1"/>
  <c r="E137" i="2"/>
  <c r="E138" s="1"/>
  <c r="B30" i="4"/>
  <c r="C30" s="1"/>
  <c r="C31" s="1"/>
  <c r="B20" i="5"/>
  <c r="L20" i="4" s="1"/>
  <c r="B30" i="17"/>
  <c r="D174" i="6"/>
  <c r="X12" i="4" s="1"/>
  <c r="C105" i="18"/>
  <c r="B30" i="11" s="1"/>
  <c r="C30" s="1"/>
  <c r="C31" s="1"/>
  <c r="B25" i="9"/>
  <c r="C25" s="1"/>
  <c r="C95" i="16"/>
  <c r="C96" s="1"/>
  <c r="C97" s="1"/>
  <c r="C115" i="18"/>
  <c r="B43" i="11" s="1"/>
  <c r="E43" s="1"/>
  <c r="E44" s="1"/>
  <c r="C103" i="18"/>
  <c r="B25" i="11" s="1"/>
  <c r="F25" s="1"/>
  <c r="B30" i="16"/>
  <c r="C30" s="1"/>
  <c r="C31" s="1"/>
  <c r="B30" i="9"/>
  <c r="C84" i="16"/>
  <c r="C102" i="18"/>
  <c r="B21" i="11" s="1"/>
  <c r="C21" s="1"/>
  <c r="C22" s="1"/>
  <c r="C85" i="16"/>
  <c r="C86" s="1"/>
  <c r="C87" s="1"/>
  <c r="B43" i="17"/>
  <c r="C43" s="1"/>
  <c r="C44" s="1"/>
  <c r="Z89" i="18"/>
  <c r="AB90" s="1"/>
  <c r="AD90" s="1"/>
  <c r="D82" i="11"/>
  <c r="D75" i="13"/>
  <c r="D98" s="1"/>
  <c r="D121" s="1"/>
  <c r="D122" s="1"/>
  <c r="D138" s="1"/>
  <c r="D139" s="1"/>
  <c r="D140" s="1"/>
  <c r="D141" s="1"/>
  <c r="O83" i="18"/>
  <c r="O82"/>
  <c r="C94" i="6"/>
  <c r="C95" s="1"/>
  <c r="C96" s="1"/>
  <c r="B21" i="9"/>
  <c r="C21" s="1"/>
  <c r="C22" s="1"/>
  <c r="C45" i="5"/>
  <c r="C46" s="1"/>
  <c r="B43" i="4"/>
  <c r="C43" s="1"/>
  <c r="C44" s="1"/>
  <c r="B21" i="6"/>
  <c r="C21" s="1"/>
  <c r="C22" s="1"/>
  <c r="B43" i="16"/>
  <c r="C43" s="1"/>
  <c r="C44" s="1"/>
  <c r="B21" i="4"/>
  <c r="E21" s="1"/>
  <c r="E22" s="1"/>
  <c r="H23" s="1"/>
  <c r="H24" s="1"/>
  <c r="B21" i="17"/>
  <c r="C21" s="1"/>
  <c r="C22" s="1"/>
  <c r="B43" i="9"/>
  <c r="C43" s="1"/>
  <c r="C44" s="1"/>
  <c r="B25" i="6"/>
  <c r="H25" s="1"/>
  <c r="B25" i="4"/>
  <c r="E25" s="1"/>
  <c r="B25" i="17"/>
  <c r="D25" s="1"/>
  <c r="C94" i="16"/>
  <c r="C117"/>
  <c r="C79"/>
  <c r="C80" s="1"/>
  <c r="C81" s="1"/>
  <c r="C82" s="1"/>
  <c r="C100"/>
  <c r="C72"/>
  <c r="C73" s="1"/>
  <c r="C75" s="1"/>
  <c r="C76" s="1"/>
  <c r="C90"/>
  <c r="C91" s="1"/>
  <c r="C92" s="1"/>
  <c r="C106"/>
  <c r="C107" s="1"/>
  <c r="C108" s="1"/>
  <c r="C89"/>
  <c r="C101"/>
  <c r="C102" s="1"/>
  <c r="C103" s="1"/>
  <c r="C104" s="1"/>
  <c r="Z90" i="12"/>
  <c r="AE90" s="1"/>
  <c r="B46" s="1"/>
  <c r="C14" i="13" s="1"/>
  <c r="C93" i="6"/>
  <c r="C99"/>
  <c r="C71"/>
  <c r="C72" s="1"/>
  <c r="C100"/>
  <c r="C101" s="1"/>
  <c r="C102" s="1"/>
  <c r="C103" s="1"/>
  <c r="C116"/>
  <c r="C78"/>
  <c r="C79" s="1"/>
  <c r="C80" s="1"/>
  <c r="C81" s="1"/>
  <c r="C89"/>
  <c r="C90" s="1"/>
  <c r="C91" s="1"/>
  <c r="C88"/>
  <c r="C83"/>
  <c r="C73"/>
  <c r="Z89" i="3"/>
  <c r="AB90" s="1"/>
  <c r="AD90" s="1"/>
  <c r="C106" i="17"/>
  <c r="C107" s="1"/>
  <c r="C108" s="1"/>
  <c r="C89"/>
  <c r="C100"/>
  <c r="C79" i="9"/>
  <c r="C80" s="1"/>
  <c r="C81" s="1"/>
  <c r="C82" s="1"/>
  <c r="C95"/>
  <c r="C96" s="1"/>
  <c r="C97" s="1"/>
  <c r="C89"/>
  <c r="C85"/>
  <c r="C86" s="1"/>
  <c r="C87" s="1"/>
  <c r="C101"/>
  <c r="C102" s="1"/>
  <c r="C103" s="1"/>
  <c r="C104" s="1"/>
  <c r="C117"/>
  <c r="C72"/>
  <c r="C73" s="1"/>
  <c r="C106"/>
  <c r="C107" s="1"/>
  <c r="C108" s="1"/>
  <c r="C90"/>
  <c r="C91" s="1"/>
  <c r="C92" s="1"/>
  <c r="C94"/>
  <c r="C100"/>
  <c r="C74"/>
  <c r="C84"/>
  <c r="C100" i="4"/>
  <c r="C117"/>
  <c r="C79"/>
  <c r="C80" s="1"/>
  <c r="C81" s="1"/>
  <c r="C82" s="1"/>
  <c r="C95"/>
  <c r="C96" s="1"/>
  <c r="C97" s="1"/>
  <c r="C94"/>
  <c r="C74"/>
  <c r="C101"/>
  <c r="C102" s="1"/>
  <c r="C103" s="1"/>
  <c r="C104" s="1"/>
  <c r="C72"/>
  <c r="C73" s="1"/>
  <c r="C106"/>
  <c r="C107" s="1"/>
  <c r="C108" s="1"/>
  <c r="C90"/>
  <c r="C91" s="1"/>
  <c r="C89"/>
  <c r="C84"/>
  <c r="C86" i="11"/>
  <c r="C72" i="17"/>
  <c r="C73" s="1"/>
  <c r="C84"/>
  <c r="C79"/>
  <c r="C80" s="1"/>
  <c r="C81" s="1"/>
  <c r="C82" s="1"/>
  <c r="C90"/>
  <c r="C91" s="1"/>
  <c r="C92" s="1"/>
  <c r="C122" i="11"/>
  <c r="C117" i="17"/>
  <c r="C101"/>
  <c r="C102" s="1"/>
  <c r="C103" s="1"/>
  <c r="C104" s="1"/>
  <c r="C74"/>
  <c r="C94"/>
  <c r="C95"/>
  <c r="C96" s="1"/>
  <c r="C97" s="1"/>
  <c r="C34" i="4"/>
  <c r="C35" s="1"/>
  <c r="D34"/>
  <c r="D35" s="1"/>
  <c r="E34"/>
  <c r="E35" s="1"/>
  <c r="C34" i="17"/>
  <c r="C35" s="1"/>
  <c r="D34"/>
  <c r="D35" s="1"/>
  <c r="E34"/>
  <c r="E35" s="1"/>
  <c r="C26" i="16"/>
  <c r="C27" s="1"/>
  <c r="D26"/>
  <c r="D27" s="1"/>
  <c r="E26"/>
  <c r="E27" s="1"/>
  <c r="C21"/>
  <c r="C22" s="1"/>
  <c r="D21"/>
  <c r="D22" s="1"/>
  <c r="E21"/>
  <c r="E22" s="1"/>
  <c r="C26" i="13"/>
  <c r="C27" s="1"/>
  <c r="D26"/>
  <c r="D27" s="1"/>
  <c r="E26"/>
  <c r="E27" s="1"/>
  <c r="C25"/>
  <c r="D25"/>
  <c r="F25"/>
  <c r="E25"/>
  <c r="I25"/>
  <c r="H25"/>
  <c r="G25"/>
  <c r="C108" i="18"/>
  <c r="C114" s="1"/>
  <c r="D108"/>
  <c r="D114" s="1"/>
  <c r="E108"/>
  <c r="E114" s="1"/>
  <c r="E38" i="17"/>
  <c r="E39" s="1"/>
  <c r="E41"/>
  <c r="E42" s="1"/>
  <c r="E38" i="16"/>
  <c r="E39" s="1"/>
  <c r="E41"/>
  <c r="E42" s="1"/>
  <c r="E38" i="9"/>
  <c r="E39" s="1"/>
  <c r="E41"/>
  <c r="E42" s="1"/>
  <c r="E38" i="6"/>
  <c r="E39" s="1"/>
  <c r="E41" i="4"/>
  <c r="E42" s="1"/>
  <c r="E38"/>
  <c r="E39" s="1"/>
  <c r="E41" i="6"/>
  <c r="E42" s="1"/>
  <c r="N45" i="4"/>
  <c r="D46" i="5"/>
  <c r="N46" i="4" s="1"/>
  <c r="C142" i="11"/>
  <c r="C129"/>
  <c r="C30" i="6"/>
  <c r="C31" s="1"/>
  <c r="D30"/>
  <c r="D31" s="1"/>
  <c r="E30"/>
  <c r="E31" s="1"/>
  <c r="D43" i="4"/>
  <c r="D44" s="1"/>
  <c r="E43"/>
  <c r="E44" s="1"/>
  <c r="F45" s="1"/>
  <c r="F46" s="1"/>
  <c r="G52" i="2" s="1"/>
  <c r="D43" i="17"/>
  <c r="D44" s="1"/>
  <c r="E43"/>
  <c r="E44" s="1"/>
  <c r="C108" i="11"/>
  <c r="C26" i="9"/>
  <c r="C27" s="1"/>
  <c r="D26"/>
  <c r="D27" s="1"/>
  <c r="E26"/>
  <c r="E27" s="1"/>
  <c r="D21"/>
  <c r="D22" s="1"/>
  <c r="E21"/>
  <c r="E22" s="1"/>
  <c r="C108" i="12"/>
  <c r="C114" s="1"/>
  <c r="D108"/>
  <c r="D114" s="1"/>
  <c r="E108"/>
  <c r="E114" s="1"/>
  <c r="C34" i="13"/>
  <c r="C35" s="1"/>
  <c r="D34"/>
  <c r="D35" s="1"/>
  <c r="E34"/>
  <c r="E35" s="1"/>
  <c r="C26" i="11"/>
  <c r="C27" s="1"/>
  <c r="D26"/>
  <c r="D27" s="1"/>
  <c r="E26"/>
  <c r="E27" s="1"/>
  <c r="C34"/>
  <c r="C35" s="1"/>
  <c r="D34"/>
  <c r="D35" s="1"/>
  <c r="E34"/>
  <c r="E35" s="1"/>
  <c r="C25" i="4"/>
  <c r="F25"/>
  <c r="G25" i="17"/>
  <c r="E30" i="4"/>
  <c r="E31" s="1"/>
  <c r="F32" s="1"/>
  <c r="F33" s="1"/>
  <c r="G50" i="2" s="1"/>
  <c r="C30" i="17"/>
  <c r="C31" s="1"/>
  <c r="D30"/>
  <c r="D31" s="1"/>
  <c r="E30"/>
  <c r="E31" s="1"/>
  <c r="D43" i="16"/>
  <c r="D44" s="1"/>
  <c r="E43"/>
  <c r="E44" s="1"/>
  <c r="C34"/>
  <c r="C35" s="1"/>
  <c r="D34"/>
  <c r="D35" s="1"/>
  <c r="E34"/>
  <c r="E35" s="1"/>
  <c r="C34" i="9"/>
  <c r="C35" s="1"/>
  <c r="D34"/>
  <c r="D35" s="1"/>
  <c r="E34"/>
  <c r="E35" s="1"/>
  <c r="C26" i="6"/>
  <c r="C27" s="1"/>
  <c r="D26"/>
  <c r="D27" s="1"/>
  <c r="E26"/>
  <c r="E27" s="1"/>
  <c r="E21"/>
  <c r="E22" s="1"/>
  <c r="C43" i="13"/>
  <c r="C44" s="1"/>
  <c r="D43"/>
  <c r="D44" s="1"/>
  <c r="E43"/>
  <c r="E44" s="1"/>
  <c r="C30"/>
  <c r="C31" s="1"/>
  <c r="D30"/>
  <c r="D31" s="1"/>
  <c r="E30"/>
  <c r="E31" s="1"/>
  <c r="C43" i="11"/>
  <c r="C44" s="1"/>
  <c r="D43"/>
  <c r="D44" s="1"/>
  <c r="E30"/>
  <c r="E31" s="1"/>
  <c r="C25" i="16"/>
  <c r="D25"/>
  <c r="H25"/>
  <c r="G25"/>
  <c r="E25"/>
  <c r="I25"/>
  <c r="F25"/>
  <c r="C38" i="17"/>
  <c r="C41"/>
  <c r="C38" i="16"/>
  <c r="C41"/>
  <c r="C41" i="9"/>
  <c r="C38"/>
  <c r="C41" i="6"/>
  <c r="C38"/>
  <c r="C41" i="4"/>
  <c r="C38"/>
  <c r="B134" i="11"/>
  <c r="A134" s="1"/>
  <c r="D30" i="16"/>
  <c r="D31" s="1"/>
  <c r="E30"/>
  <c r="E31" s="1"/>
  <c r="E43" i="9"/>
  <c r="E44" s="1"/>
  <c r="C94" i="11"/>
  <c r="C78"/>
  <c r="C115"/>
  <c r="C34" i="6"/>
  <c r="C35" s="1"/>
  <c r="D34"/>
  <c r="D35" s="1"/>
  <c r="E34"/>
  <c r="E35" s="1"/>
  <c r="C26" i="4"/>
  <c r="C27" s="1"/>
  <c r="D26"/>
  <c r="D27" s="1"/>
  <c r="E26"/>
  <c r="E27" s="1"/>
  <c r="C26" i="17"/>
  <c r="C27" s="1"/>
  <c r="D26"/>
  <c r="D27" s="1"/>
  <c r="E26"/>
  <c r="E27" s="1"/>
  <c r="C21" i="4"/>
  <c r="C22" s="1"/>
  <c r="D21"/>
  <c r="D22" s="1"/>
  <c r="G23" s="1"/>
  <c r="G24" s="1"/>
  <c r="D21" i="17"/>
  <c r="D22" s="1"/>
  <c r="E21"/>
  <c r="E22" s="1"/>
  <c r="C21" i="13"/>
  <c r="C22" s="1"/>
  <c r="D21"/>
  <c r="D22" s="1"/>
  <c r="E21"/>
  <c r="E22" s="1"/>
  <c r="E21" i="11"/>
  <c r="E22" s="1"/>
  <c r="D38" i="17"/>
  <c r="D39" s="1"/>
  <c r="D41"/>
  <c r="D42" s="1"/>
  <c r="D38" i="16"/>
  <c r="D39" s="1"/>
  <c r="D41"/>
  <c r="D42" s="1"/>
  <c r="D38" i="9"/>
  <c r="D39" s="1"/>
  <c r="D41"/>
  <c r="D42" s="1"/>
  <c r="D38" i="6"/>
  <c r="D39" s="1"/>
  <c r="D41" i="4"/>
  <c r="D42" s="1"/>
  <c r="D38"/>
  <c r="D39" s="1"/>
  <c r="D41" i="6"/>
  <c r="D42" s="1"/>
  <c r="C110" i="13"/>
  <c r="C148" i="12"/>
  <c r="C187"/>
  <c r="C188" s="1"/>
  <c r="C186"/>
  <c r="C170"/>
  <c r="C171" s="1"/>
  <c r="C114" i="13" s="1"/>
  <c r="C161" i="12"/>
  <c r="C162" s="1"/>
  <c r="C163" s="1"/>
  <c r="C99" i="13" s="1"/>
  <c r="C30" i="9"/>
  <c r="C31" s="1"/>
  <c r="D30"/>
  <c r="D31" s="1"/>
  <c r="E30"/>
  <c r="E31" s="1"/>
  <c r="C43" i="6"/>
  <c r="C44" s="1"/>
  <c r="D43"/>
  <c r="D44" s="1"/>
  <c r="E43"/>
  <c r="E44" s="1"/>
  <c r="O82" i="3"/>
  <c r="D43" i="9" l="1"/>
  <c r="D44" s="1"/>
  <c r="K44" s="1"/>
  <c r="D21" i="6"/>
  <c r="D22" s="1"/>
  <c r="D30" i="4"/>
  <c r="D31" s="1"/>
  <c r="B31" s="1"/>
  <c r="D32" s="1"/>
  <c r="D33" s="1"/>
  <c r="E50" i="2" s="1"/>
  <c r="D21" i="11"/>
  <c r="D22" s="1"/>
  <c r="K22" s="1"/>
  <c r="G25"/>
  <c r="D30"/>
  <c r="D31" s="1"/>
  <c r="D25"/>
  <c r="C25"/>
  <c r="E25"/>
  <c r="H25"/>
  <c r="I25"/>
  <c r="I25" i="9"/>
  <c r="E25"/>
  <c r="G74" i="5"/>
  <c r="G76" s="1"/>
  <c r="B14" i="13"/>
  <c r="A14" s="1"/>
  <c r="C169"/>
  <c r="C170"/>
  <c r="G25" i="4"/>
  <c r="H25"/>
  <c r="M45"/>
  <c r="I25"/>
  <c r="D25"/>
  <c r="Z90" i="18"/>
  <c r="AE90" s="1"/>
  <c r="B46" s="1"/>
  <c r="C14" i="11" s="1"/>
  <c r="F25" i="9"/>
  <c r="H25"/>
  <c r="G25"/>
  <c r="D25"/>
  <c r="D25" i="6"/>
  <c r="G25"/>
  <c r="I25" i="17"/>
  <c r="C25"/>
  <c r="F25"/>
  <c r="H25"/>
  <c r="E25"/>
  <c r="F25" i="6"/>
  <c r="I25"/>
  <c r="C25"/>
  <c r="E25"/>
  <c r="Z90" i="3"/>
  <c r="AE90" s="1"/>
  <c r="B46" s="1"/>
  <c r="C74" i="6"/>
  <c r="C98" i="16"/>
  <c r="C121" s="1"/>
  <c r="C75" i="17"/>
  <c r="C98" s="1"/>
  <c r="E32" i="4"/>
  <c r="E33" s="1"/>
  <c r="F50" i="2" s="1"/>
  <c r="C75" i="9"/>
  <c r="C98" s="1"/>
  <c r="C93" i="13"/>
  <c r="E45" i="4"/>
  <c r="E46" s="1"/>
  <c r="F52" i="2" s="1"/>
  <c r="C75" i="4"/>
  <c r="C88" i="13"/>
  <c r="C131" i="11"/>
  <c r="C103" s="1"/>
  <c r="C104" s="1"/>
  <c r="C130"/>
  <c r="C71" i="13"/>
  <c r="C105"/>
  <c r="C87" i="11"/>
  <c r="C76" i="17"/>
  <c r="K35" i="6"/>
  <c r="B35"/>
  <c r="B114" i="13"/>
  <c r="A114" s="1"/>
  <c r="K22" i="17"/>
  <c r="B22"/>
  <c r="K27"/>
  <c r="B27"/>
  <c r="K44" i="6"/>
  <c r="B44"/>
  <c r="K22" i="13"/>
  <c r="B22"/>
  <c r="J22" i="4"/>
  <c r="B22"/>
  <c r="F23"/>
  <c r="F24" s="1"/>
  <c r="J44"/>
  <c r="J31"/>
  <c r="B38"/>
  <c r="C39"/>
  <c r="B39" s="1"/>
  <c r="B38" i="9"/>
  <c r="C39"/>
  <c r="B41" i="17"/>
  <c r="C42"/>
  <c r="B42" s="1"/>
  <c r="A42" s="1"/>
  <c r="K44" i="13"/>
  <c r="B44"/>
  <c r="K35" i="9"/>
  <c r="B35"/>
  <c r="K31" i="17"/>
  <c r="B31"/>
  <c r="K35" i="11"/>
  <c r="B35"/>
  <c r="D38" i="13"/>
  <c r="D39" s="1"/>
  <c r="D41"/>
  <c r="D42" s="1"/>
  <c r="K27" i="9"/>
  <c r="B27"/>
  <c r="C41" i="11"/>
  <c r="C38"/>
  <c r="K27" i="13"/>
  <c r="B27"/>
  <c r="C77"/>
  <c r="B27" i="4"/>
  <c r="B35"/>
  <c r="H48" i="2"/>
  <c r="B41" i="6"/>
  <c r="C42"/>
  <c r="B42" s="1"/>
  <c r="A42" s="1"/>
  <c r="C39" i="16"/>
  <c r="B38"/>
  <c r="K31" i="11"/>
  <c r="B31"/>
  <c r="K22" i="6"/>
  <c r="B22"/>
  <c r="K27" i="11"/>
  <c r="B27"/>
  <c r="E38" i="13"/>
  <c r="E39" s="1"/>
  <c r="E41"/>
  <c r="E42" s="1"/>
  <c r="C76" i="9"/>
  <c r="K44" i="17"/>
  <c r="B44"/>
  <c r="D38" i="11"/>
  <c r="D39" s="1"/>
  <c r="D41"/>
  <c r="D42" s="1"/>
  <c r="K22" i="16"/>
  <c r="B22"/>
  <c r="K31" i="9"/>
  <c r="B31"/>
  <c r="I48" i="2"/>
  <c r="B44" i="9"/>
  <c r="M46" i="4"/>
  <c r="B38" i="6"/>
  <c r="C39"/>
  <c r="B41" i="16"/>
  <c r="C42"/>
  <c r="B42" s="1"/>
  <c r="A42" s="1"/>
  <c r="K44" i="11"/>
  <c r="B44"/>
  <c r="K35" i="16"/>
  <c r="B35"/>
  <c r="K35" i="13"/>
  <c r="B35"/>
  <c r="D45" i="4"/>
  <c r="D46" s="1"/>
  <c r="E52" i="2" s="1"/>
  <c r="B44" i="4"/>
  <c r="C45" s="1"/>
  <c r="E38" i="11"/>
  <c r="E39" s="1"/>
  <c r="E41"/>
  <c r="E42" s="1"/>
  <c r="K27" i="16"/>
  <c r="B27"/>
  <c r="C120" i="13"/>
  <c r="C111"/>
  <c r="K31" i="16"/>
  <c r="B31"/>
  <c r="B41" i="4"/>
  <c r="C42"/>
  <c r="B42" s="1"/>
  <c r="A42" s="1"/>
  <c r="B41" i="9"/>
  <c r="C42"/>
  <c r="B42" s="1"/>
  <c r="A42" s="1"/>
  <c r="C39" i="17"/>
  <c r="B38"/>
  <c r="K31" i="13"/>
  <c r="B31"/>
  <c r="K27" i="6"/>
  <c r="B27"/>
  <c r="K44" i="16"/>
  <c r="B44"/>
  <c r="C38" i="13"/>
  <c r="C41"/>
  <c r="K22" i="9"/>
  <c r="B22"/>
  <c r="K31" i="6"/>
  <c r="B31"/>
  <c r="K35" i="17"/>
  <c r="B35"/>
  <c r="B22" i="11" l="1"/>
  <c r="I23" s="1"/>
  <c r="I24" s="1"/>
  <c r="B14"/>
  <c r="A14" s="1"/>
  <c r="C184"/>
  <c r="C185"/>
  <c r="B185" s="1"/>
  <c r="C14" i="4"/>
  <c r="C48" i="5"/>
  <c r="C14" i="17"/>
  <c r="C14" i="9"/>
  <c r="C14" i="6"/>
  <c r="C14" i="16"/>
  <c r="I194" i="3"/>
  <c r="E194"/>
  <c r="F194"/>
  <c r="G194"/>
  <c r="H194"/>
  <c r="B170" i="13"/>
  <c r="C16" i="14"/>
  <c r="B16" s="1"/>
  <c r="C102" i="11"/>
  <c r="C75" i="6"/>
  <c r="C97"/>
  <c r="C123" i="11"/>
  <c r="C124" s="1"/>
  <c r="C79"/>
  <c r="C80" s="1"/>
  <c r="C109"/>
  <c r="C81"/>
  <c r="C116"/>
  <c r="C110"/>
  <c r="C111" s="1"/>
  <c r="C112" s="1"/>
  <c r="C32" i="4"/>
  <c r="C33" s="1"/>
  <c r="C95" i="11"/>
  <c r="C88"/>
  <c r="C89" s="1"/>
  <c r="C96"/>
  <c r="C97" s="1"/>
  <c r="C117"/>
  <c r="C118" s="1"/>
  <c r="C119" s="1"/>
  <c r="C76" i="4"/>
  <c r="C98"/>
  <c r="C78" i="13"/>
  <c r="C112"/>
  <c r="C113" s="1"/>
  <c r="C121" i="17"/>
  <c r="C122" s="1"/>
  <c r="G32" i="6"/>
  <c r="G33" s="1"/>
  <c r="C32"/>
  <c r="H32"/>
  <c r="H33" s="1"/>
  <c r="D32"/>
  <c r="D33" s="1"/>
  <c r="I32"/>
  <c r="I33" s="1"/>
  <c r="E32"/>
  <c r="E33" s="1"/>
  <c r="F32"/>
  <c r="F33" s="1"/>
  <c r="B41" i="13"/>
  <c r="C42"/>
  <c r="B42" s="1"/>
  <c r="A42" s="1"/>
  <c r="C122" i="16"/>
  <c r="H36"/>
  <c r="H37" s="1"/>
  <c r="D36"/>
  <c r="D37" s="1"/>
  <c r="I36"/>
  <c r="I37" s="1"/>
  <c r="E36"/>
  <c r="E37" s="1"/>
  <c r="F36"/>
  <c r="F37" s="1"/>
  <c r="G36"/>
  <c r="G37" s="1"/>
  <c r="C36"/>
  <c r="G32" i="11"/>
  <c r="G33" s="1"/>
  <c r="C32"/>
  <c r="H32"/>
  <c r="H33" s="1"/>
  <c r="D32"/>
  <c r="D33" s="1"/>
  <c r="I32"/>
  <c r="I33" s="1"/>
  <c r="E32"/>
  <c r="E33" s="1"/>
  <c r="F32"/>
  <c r="F33" s="1"/>
  <c r="B38"/>
  <c r="C39"/>
  <c r="F32" i="17"/>
  <c r="F33" s="1"/>
  <c r="G32"/>
  <c r="G33" s="1"/>
  <c r="C32"/>
  <c r="H32"/>
  <c r="H33" s="1"/>
  <c r="D32"/>
  <c r="D33" s="1"/>
  <c r="I32"/>
  <c r="I33" s="1"/>
  <c r="E32"/>
  <c r="E33" s="1"/>
  <c r="H45" i="13"/>
  <c r="H46" s="1"/>
  <c r="D45"/>
  <c r="D46" s="1"/>
  <c r="I45"/>
  <c r="I46" s="1"/>
  <c r="E45"/>
  <c r="E46" s="1"/>
  <c r="F45"/>
  <c r="F46" s="1"/>
  <c r="G45"/>
  <c r="G46" s="1"/>
  <c r="C45"/>
  <c r="K39" i="9"/>
  <c r="B39"/>
  <c r="H45" i="16"/>
  <c r="H46" s="1"/>
  <c r="D45"/>
  <c r="D46" s="1"/>
  <c r="I45"/>
  <c r="I46" s="1"/>
  <c r="E45"/>
  <c r="E46" s="1"/>
  <c r="F45"/>
  <c r="F46" s="1"/>
  <c r="G45"/>
  <c r="G46" s="1"/>
  <c r="C45"/>
  <c r="H32" i="13"/>
  <c r="H33" s="1"/>
  <c r="D32"/>
  <c r="D33" s="1"/>
  <c r="I32"/>
  <c r="I33" s="1"/>
  <c r="E32"/>
  <c r="E33" s="1"/>
  <c r="F32"/>
  <c r="F33" s="1"/>
  <c r="G32"/>
  <c r="G33" s="1"/>
  <c r="C32"/>
  <c r="F32" i="16"/>
  <c r="F33" s="1"/>
  <c r="G32"/>
  <c r="G33" s="1"/>
  <c r="C32"/>
  <c r="H32"/>
  <c r="H33" s="1"/>
  <c r="D32"/>
  <c r="D33" s="1"/>
  <c r="I32"/>
  <c r="I33" s="1"/>
  <c r="E32"/>
  <c r="E33" s="1"/>
  <c r="H28"/>
  <c r="H29" s="1"/>
  <c r="D28"/>
  <c r="D29" s="1"/>
  <c r="I28"/>
  <c r="I29" s="1"/>
  <c r="E28"/>
  <c r="E29" s="1"/>
  <c r="F28"/>
  <c r="F29" s="1"/>
  <c r="G28"/>
  <c r="G29" s="1"/>
  <c r="C28"/>
  <c r="B45" i="4"/>
  <c r="C46"/>
  <c r="I28" i="11"/>
  <c r="I29" s="1"/>
  <c r="E28"/>
  <c r="E29" s="1"/>
  <c r="F28"/>
  <c r="F29" s="1"/>
  <c r="C28"/>
  <c r="D28"/>
  <c r="D29" s="1"/>
  <c r="G28"/>
  <c r="G29" s="1"/>
  <c r="H28"/>
  <c r="H29" s="1"/>
  <c r="B32" i="4"/>
  <c r="K39" i="16"/>
  <c r="B39"/>
  <c r="D23" i="4"/>
  <c r="D24" s="1"/>
  <c r="E23"/>
  <c r="E24" s="1"/>
  <c r="C23"/>
  <c r="I45" i="6"/>
  <c r="I46" s="1"/>
  <c r="E45"/>
  <c r="E46" s="1"/>
  <c r="F45"/>
  <c r="F46" s="1"/>
  <c r="G45"/>
  <c r="G46" s="1"/>
  <c r="C45"/>
  <c r="H45"/>
  <c r="H46" s="1"/>
  <c r="D45"/>
  <c r="D46" s="1"/>
  <c r="G23" i="17"/>
  <c r="G24" s="1"/>
  <c r="C23"/>
  <c r="H23"/>
  <c r="H24" s="1"/>
  <c r="D23"/>
  <c r="D24" s="1"/>
  <c r="I23"/>
  <c r="I24" s="1"/>
  <c r="E23"/>
  <c r="E24" s="1"/>
  <c r="F23"/>
  <c r="F24" s="1"/>
  <c r="I36" i="6"/>
  <c r="I37" s="1"/>
  <c r="E36"/>
  <c r="E37" s="1"/>
  <c r="F36"/>
  <c r="F37" s="1"/>
  <c r="G36"/>
  <c r="G37" s="1"/>
  <c r="C36"/>
  <c r="H36"/>
  <c r="H37" s="1"/>
  <c r="D36"/>
  <c r="D37" s="1"/>
  <c r="K39" i="17"/>
  <c r="B39"/>
  <c r="F36" i="13"/>
  <c r="F37" s="1"/>
  <c r="G36"/>
  <c r="G37" s="1"/>
  <c r="C36"/>
  <c r="H36"/>
  <c r="H37" s="1"/>
  <c r="D36"/>
  <c r="D37" s="1"/>
  <c r="I36"/>
  <c r="I37" s="1"/>
  <c r="E36"/>
  <c r="E37" s="1"/>
  <c r="K39" i="6"/>
  <c r="B39"/>
  <c r="G23" i="16"/>
  <c r="G24" s="1"/>
  <c r="C23"/>
  <c r="H23"/>
  <c r="H24" s="1"/>
  <c r="D23"/>
  <c r="D24" s="1"/>
  <c r="I23"/>
  <c r="I24" s="1"/>
  <c r="E23"/>
  <c r="E24" s="1"/>
  <c r="F23"/>
  <c r="F24" s="1"/>
  <c r="H45" i="17"/>
  <c r="H46" s="1"/>
  <c r="D45"/>
  <c r="D46" s="1"/>
  <c r="I45"/>
  <c r="I46" s="1"/>
  <c r="E45"/>
  <c r="E46" s="1"/>
  <c r="F45"/>
  <c r="F46" s="1"/>
  <c r="G45"/>
  <c r="G46" s="1"/>
  <c r="C45"/>
  <c r="H23" i="6"/>
  <c r="H24" s="1"/>
  <c r="D23"/>
  <c r="D24" s="1"/>
  <c r="I23"/>
  <c r="I24" s="1"/>
  <c r="E23"/>
  <c r="E24" s="1"/>
  <c r="F23"/>
  <c r="F24" s="1"/>
  <c r="G23"/>
  <c r="G24" s="1"/>
  <c r="C23"/>
  <c r="F28" i="13"/>
  <c r="F29" s="1"/>
  <c r="G28"/>
  <c r="G29" s="1"/>
  <c r="C28"/>
  <c r="H28"/>
  <c r="H29" s="1"/>
  <c r="D28"/>
  <c r="D29" s="1"/>
  <c r="I28"/>
  <c r="I29" s="1"/>
  <c r="E28"/>
  <c r="E29" s="1"/>
  <c r="I28" i="9"/>
  <c r="I29" s="1"/>
  <c r="E28"/>
  <c r="E29" s="1"/>
  <c r="F28"/>
  <c r="F29" s="1"/>
  <c r="G28"/>
  <c r="G29" s="1"/>
  <c r="C28"/>
  <c r="H28"/>
  <c r="H29" s="1"/>
  <c r="D28"/>
  <c r="D29" s="1"/>
  <c r="I36" i="11"/>
  <c r="I37" s="1"/>
  <c r="E36"/>
  <c r="E37" s="1"/>
  <c r="F36"/>
  <c r="F37" s="1"/>
  <c r="G36"/>
  <c r="G37" s="1"/>
  <c r="H36"/>
  <c r="H37" s="1"/>
  <c r="C36"/>
  <c r="D36"/>
  <c r="D37" s="1"/>
  <c r="I36" i="9"/>
  <c r="I37" s="1"/>
  <c r="E36"/>
  <c r="E37" s="1"/>
  <c r="F36"/>
  <c r="F37" s="1"/>
  <c r="G36"/>
  <c r="G37" s="1"/>
  <c r="C36"/>
  <c r="H36"/>
  <c r="H37" s="1"/>
  <c r="D36"/>
  <c r="D37" s="1"/>
  <c r="H40" i="4"/>
  <c r="D40"/>
  <c r="I40"/>
  <c r="E40"/>
  <c r="F40"/>
  <c r="G40"/>
  <c r="C40"/>
  <c r="G48" i="2"/>
  <c r="H23" i="9"/>
  <c r="H24" s="1"/>
  <c r="D23"/>
  <c r="D24" s="1"/>
  <c r="I23"/>
  <c r="I24" s="1"/>
  <c r="E23"/>
  <c r="E24" s="1"/>
  <c r="F23"/>
  <c r="F24" s="1"/>
  <c r="G23"/>
  <c r="G24" s="1"/>
  <c r="C23"/>
  <c r="H36" i="17"/>
  <c r="H37" s="1"/>
  <c r="D36"/>
  <c r="D37" s="1"/>
  <c r="I36"/>
  <c r="I37" s="1"/>
  <c r="E36"/>
  <c r="E37" s="1"/>
  <c r="F36"/>
  <c r="F37" s="1"/>
  <c r="G36"/>
  <c r="G37" s="1"/>
  <c r="C36"/>
  <c r="B38" i="13"/>
  <c r="C39"/>
  <c r="I28" i="6"/>
  <c r="I29" s="1"/>
  <c r="E28"/>
  <c r="E29" s="1"/>
  <c r="F28"/>
  <c r="F29" s="1"/>
  <c r="G28"/>
  <c r="G29" s="1"/>
  <c r="C28"/>
  <c r="H28"/>
  <c r="H29" s="1"/>
  <c r="D28"/>
  <c r="D29" s="1"/>
  <c r="I45" i="11"/>
  <c r="I46" s="1"/>
  <c r="E45"/>
  <c r="E46" s="1"/>
  <c r="F45"/>
  <c r="F46" s="1"/>
  <c r="C45"/>
  <c r="D45"/>
  <c r="D46" s="1"/>
  <c r="G45"/>
  <c r="G46" s="1"/>
  <c r="H45"/>
  <c r="H46" s="1"/>
  <c r="I45" i="9"/>
  <c r="I46" s="1"/>
  <c r="E45"/>
  <c r="E46" s="1"/>
  <c r="F45"/>
  <c r="F46" s="1"/>
  <c r="G45"/>
  <c r="G46" s="1"/>
  <c r="C45"/>
  <c r="H45"/>
  <c r="H46" s="1"/>
  <c r="D45"/>
  <c r="D46" s="1"/>
  <c r="G32"/>
  <c r="G33" s="1"/>
  <c r="C32"/>
  <c r="H32"/>
  <c r="H33" s="1"/>
  <c r="D32"/>
  <c r="D33" s="1"/>
  <c r="I32"/>
  <c r="I33" s="1"/>
  <c r="E32"/>
  <c r="E33" s="1"/>
  <c r="F32"/>
  <c r="F33" s="1"/>
  <c r="C121"/>
  <c r="F36" i="4"/>
  <c r="F37" s="1"/>
  <c r="G36"/>
  <c r="G37" s="1"/>
  <c r="C36"/>
  <c r="H36"/>
  <c r="H37" s="1"/>
  <c r="D36"/>
  <c r="D37" s="1"/>
  <c r="I36"/>
  <c r="I37" s="1"/>
  <c r="E36"/>
  <c r="E37" s="1"/>
  <c r="I28"/>
  <c r="I29" s="1"/>
  <c r="E28"/>
  <c r="E29" s="1"/>
  <c r="F28"/>
  <c r="F29" s="1"/>
  <c r="G28"/>
  <c r="G29" s="1"/>
  <c r="C28"/>
  <c r="H28"/>
  <c r="H29" s="1"/>
  <c r="D28"/>
  <c r="D29" s="1"/>
  <c r="B41" i="11"/>
  <c r="C42"/>
  <c r="B42" s="1"/>
  <c r="A42" s="1"/>
  <c r="I23" i="13"/>
  <c r="I24" s="1"/>
  <c r="E23"/>
  <c r="E24" s="1"/>
  <c r="F23"/>
  <c r="F24" s="1"/>
  <c r="G23"/>
  <c r="G24" s="1"/>
  <c r="C23"/>
  <c r="H23"/>
  <c r="H24" s="1"/>
  <c r="D23"/>
  <c r="D24" s="1"/>
  <c r="H28" i="17"/>
  <c r="H29" s="1"/>
  <c r="D28"/>
  <c r="D29" s="1"/>
  <c r="I28"/>
  <c r="I29" s="1"/>
  <c r="E28"/>
  <c r="E29" s="1"/>
  <c r="F28"/>
  <c r="F29" s="1"/>
  <c r="G28"/>
  <c r="G29" s="1"/>
  <c r="C28"/>
  <c r="E23" i="11"/>
  <c r="E24" s="1"/>
  <c r="G23"/>
  <c r="G24" s="1"/>
  <c r="D23" l="1"/>
  <c r="D24" s="1"/>
  <c r="D47" s="1"/>
  <c r="D50" s="1"/>
  <c r="D149" s="1"/>
  <c r="F23"/>
  <c r="F24" s="1"/>
  <c r="F47" s="1"/>
  <c r="F50" s="1"/>
  <c r="F149" s="1"/>
  <c r="H23"/>
  <c r="H24" s="1"/>
  <c r="H47" s="1"/>
  <c r="H50" s="1"/>
  <c r="H149" s="1"/>
  <c r="C23"/>
  <c r="C82"/>
  <c r="G192" i="12"/>
  <c r="G193" s="1"/>
  <c r="G192" i="18"/>
  <c r="G193" s="1"/>
  <c r="H100" i="2"/>
  <c r="B14" i="16"/>
  <c r="A14" s="1"/>
  <c r="C168"/>
  <c r="C169"/>
  <c r="B169" s="1"/>
  <c r="B48" i="5"/>
  <c r="M48" i="4"/>
  <c r="H192" i="18"/>
  <c r="H193" s="1"/>
  <c r="I100" i="2"/>
  <c r="H192" i="12"/>
  <c r="H193" s="1"/>
  <c r="J100" i="2"/>
  <c r="I192" i="18"/>
  <c r="I193" s="1"/>
  <c r="I192" i="12"/>
  <c r="I193" s="1"/>
  <c r="B14" i="17"/>
  <c r="A14" s="1"/>
  <c r="C168"/>
  <c r="C169"/>
  <c r="B169" s="1"/>
  <c r="E192" i="12"/>
  <c r="E193" s="1"/>
  <c r="E192" i="18"/>
  <c r="E193" s="1"/>
  <c r="D194" i="3"/>
  <c r="F100" i="2"/>
  <c r="B14" i="9"/>
  <c r="A14" s="1"/>
  <c r="C169"/>
  <c r="B169" s="1"/>
  <c r="C168"/>
  <c r="G100" i="2"/>
  <c r="F192" i="12"/>
  <c r="F193" s="1"/>
  <c r="F192" i="18"/>
  <c r="F193" s="1"/>
  <c r="B14" i="6"/>
  <c r="A14" s="1"/>
  <c r="C178"/>
  <c r="B14" i="4"/>
  <c r="A14" s="1"/>
  <c r="H225"/>
  <c r="D26" i="2"/>
  <c r="G225" i="4"/>
  <c r="I225"/>
  <c r="E225"/>
  <c r="F225"/>
  <c r="C168"/>
  <c r="C169"/>
  <c r="D47" i="16"/>
  <c r="D50" s="1"/>
  <c r="D127" s="1"/>
  <c r="G47" i="11"/>
  <c r="G50" s="1"/>
  <c r="G149" s="1"/>
  <c r="I47" i="16"/>
  <c r="I50" s="1"/>
  <c r="I127" s="1"/>
  <c r="G47"/>
  <c r="G50" s="1"/>
  <c r="G127" s="1"/>
  <c r="C101" i="13"/>
  <c r="C102" s="1"/>
  <c r="C103" s="1"/>
  <c r="C104" s="1"/>
  <c r="C117"/>
  <c r="C90"/>
  <c r="C91" s="1"/>
  <c r="C92" s="1"/>
  <c r="C74"/>
  <c r="C79"/>
  <c r="C80" s="1"/>
  <c r="C81" s="1"/>
  <c r="C82" s="1"/>
  <c r="C106"/>
  <c r="C107" s="1"/>
  <c r="C108" s="1"/>
  <c r="C95"/>
  <c r="C96" s="1"/>
  <c r="C97" s="1"/>
  <c r="F47" i="4"/>
  <c r="G53" i="2" s="1"/>
  <c r="C94" i="13"/>
  <c r="C100"/>
  <c r="C89"/>
  <c r="C72"/>
  <c r="C73" s="1"/>
  <c r="C84"/>
  <c r="I47" i="4"/>
  <c r="J53" i="2" s="1"/>
  <c r="I47" i="11"/>
  <c r="I50" s="1"/>
  <c r="I149" s="1"/>
  <c r="F47" i="16"/>
  <c r="F50" s="1"/>
  <c r="F127" s="1"/>
  <c r="H47"/>
  <c r="H50" s="1"/>
  <c r="H127" s="1"/>
  <c r="G47" i="4"/>
  <c r="G50" s="1"/>
  <c r="G48" i="13"/>
  <c r="G47"/>
  <c r="G50" s="1"/>
  <c r="G127" s="1"/>
  <c r="C24" i="11"/>
  <c r="B23" i="13"/>
  <c r="C24"/>
  <c r="B28" i="17"/>
  <c r="C29"/>
  <c r="B29" s="1"/>
  <c r="A29" s="1"/>
  <c r="H48" i="13"/>
  <c r="H47"/>
  <c r="H50" s="1"/>
  <c r="H127" s="1"/>
  <c r="E48"/>
  <c r="E47"/>
  <c r="C122" i="9"/>
  <c r="B45" i="11"/>
  <c r="C46"/>
  <c r="B46" s="1"/>
  <c r="A46" s="1"/>
  <c r="B23" i="9"/>
  <c r="C24"/>
  <c r="B23" i="16"/>
  <c r="C24"/>
  <c r="G40" i="6"/>
  <c r="C40"/>
  <c r="H40"/>
  <c r="D40"/>
  <c r="I40"/>
  <c r="E40"/>
  <c r="F40"/>
  <c r="B36" i="13"/>
  <c r="C37"/>
  <c r="B37" s="1"/>
  <c r="A37" s="1"/>
  <c r="B36" i="6"/>
  <c r="C37"/>
  <c r="B37" s="1"/>
  <c r="A37" s="1"/>
  <c r="D47" i="4"/>
  <c r="E48" i="2"/>
  <c r="B33" i="4"/>
  <c r="A33" s="1"/>
  <c r="D50" i="2"/>
  <c r="B32" i="11"/>
  <c r="C33"/>
  <c r="B33" s="1"/>
  <c r="A33" s="1"/>
  <c r="E47"/>
  <c r="H47" i="4"/>
  <c r="I47" i="9"/>
  <c r="I50" s="1"/>
  <c r="I127" s="1"/>
  <c r="B40" i="4"/>
  <c r="G47" i="6"/>
  <c r="G50" s="1"/>
  <c r="G126" s="1"/>
  <c r="D47"/>
  <c r="E47" i="16"/>
  <c r="F47" i="17"/>
  <c r="F50" s="1"/>
  <c r="F127" s="1"/>
  <c r="H47"/>
  <c r="H50" s="1"/>
  <c r="H127" s="1"/>
  <c r="D48" i="13"/>
  <c r="D47"/>
  <c r="F48"/>
  <c r="F47"/>
  <c r="F50" s="1"/>
  <c r="F127" s="1"/>
  <c r="B28" i="6"/>
  <c r="C29"/>
  <c r="B29" s="1"/>
  <c r="A29" s="1"/>
  <c r="K39" i="13"/>
  <c r="B39"/>
  <c r="B23" i="6"/>
  <c r="C24"/>
  <c r="F40" i="17"/>
  <c r="G40"/>
  <c r="C40"/>
  <c r="H40"/>
  <c r="D40"/>
  <c r="I40"/>
  <c r="E40"/>
  <c r="E47" i="4"/>
  <c r="F48" i="2"/>
  <c r="B46" i="4"/>
  <c r="A46" s="1"/>
  <c r="D52" i="2"/>
  <c r="B28" i="16"/>
  <c r="C29"/>
  <c r="B29" s="1"/>
  <c r="A29" s="1"/>
  <c r="B45" i="13"/>
  <c r="C46"/>
  <c r="B46" s="1"/>
  <c r="A46" s="1"/>
  <c r="B36" i="16"/>
  <c r="C37"/>
  <c r="B37" s="1"/>
  <c r="A37" s="1"/>
  <c r="B32" i="6"/>
  <c r="C33"/>
  <c r="B33" s="1"/>
  <c r="A33" s="1"/>
  <c r="E47" i="9"/>
  <c r="I47" i="6"/>
  <c r="I50" s="1"/>
  <c r="I126" s="1"/>
  <c r="D47" i="17"/>
  <c r="B32" i="9"/>
  <c r="C33"/>
  <c r="B33" s="1"/>
  <c r="A33" s="1"/>
  <c r="B45"/>
  <c r="C46"/>
  <c r="B46" s="1"/>
  <c r="A46" s="1"/>
  <c r="B36" i="11"/>
  <c r="C37"/>
  <c r="B37" s="1"/>
  <c r="A37" s="1"/>
  <c r="B28" i="9"/>
  <c r="C29"/>
  <c r="B29" s="1"/>
  <c r="A29" s="1"/>
  <c r="B45" i="17"/>
  <c r="C46"/>
  <c r="B46" s="1"/>
  <c r="A46" s="1"/>
  <c r="B23" i="4"/>
  <c r="C24"/>
  <c r="F40" i="16"/>
  <c r="G40"/>
  <c r="C40"/>
  <c r="H40"/>
  <c r="D40"/>
  <c r="I40"/>
  <c r="E40"/>
  <c r="B32"/>
  <c r="C33"/>
  <c r="B33" s="1"/>
  <c r="A33" s="1"/>
  <c r="B32" i="13"/>
  <c r="C33"/>
  <c r="B33" s="1"/>
  <c r="A33" s="1"/>
  <c r="B32" i="17"/>
  <c r="C33"/>
  <c r="B33" s="1"/>
  <c r="A33" s="1"/>
  <c r="K39" i="11"/>
  <c r="B39"/>
  <c r="F47" i="9"/>
  <c r="F50" s="1"/>
  <c r="F127" s="1"/>
  <c r="H47"/>
  <c r="H50" s="1"/>
  <c r="H127" s="1"/>
  <c r="E47" i="6"/>
  <c r="E50" s="1"/>
  <c r="E126" s="1"/>
  <c r="I47" i="17"/>
  <c r="I50" s="1"/>
  <c r="I127" s="1"/>
  <c r="G47"/>
  <c r="G50" s="1"/>
  <c r="G127" s="1"/>
  <c r="B36" i="4"/>
  <c r="C37"/>
  <c r="B37" s="1"/>
  <c r="A37" s="1"/>
  <c r="I48" i="13"/>
  <c r="I47"/>
  <c r="I50" s="1"/>
  <c r="I127" s="1"/>
  <c r="B28" i="4"/>
  <c r="C29"/>
  <c r="B29" s="1"/>
  <c r="A29" s="1"/>
  <c r="I50"/>
  <c r="B36" i="17"/>
  <c r="C37"/>
  <c r="B37" s="1"/>
  <c r="A37" s="1"/>
  <c r="B36" i="9"/>
  <c r="C37"/>
  <c r="B37" s="1"/>
  <c r="A37" s="1"/>
  <c r="B28" i="13"/>
  <c r="C29"/>
  <c r="B29" s="1"/>
  <c r="A29" s="1"/>
  <c r="B23" i="17"/>
  <c r="C24"/>
  <c r="B45" i="6"/>
  <c r="C46"/>
  <c r="B46" s="1"/>
  <c r="A46" s="1"/>
  <c r="B28" i="11"/>
  <c r="C29"/>
  <c r="B29" s="1"/>
  <c r="A29" s="1"/>
  <c r="B45" i="16"/>
  <c r="C46"/>
  <c r="B46" s="1"/>
  <c r="A46" s="1"/>
  <c r="G40" i="9"/>
  <c r="C40"/>
  <c r="H40"/>
  <c r="D40"/>
  <c r="I40"/>
  <c r="E40"/>
  <c r="F40"/>
  <c r="G47"/>
  <c r="G50" s="1"/>
  <c r="G127" s="1"/>
  <c r="D47"/>
  <c r="F47" i="6"/>
  <c r="F50" s="1"/>
  <c r="F126" s="1"/>
  <c r="H47"/>
  <c r="H50" s="1"/>
  <c r="H126" s="1"/>
  <c r="E47" i="17"/>
  <c r="D179" i="16" l="1"/>
  <c r="B23" i="11"/>
  <c r="D195"/>
  <c r="D225" i="4"/>
  <c r="W16"/>
  <c r="B178" i="6"/>
  <c r="V16" i="4" s="1"/>
  <c r="G101" i="2"/>
  <c r="F195" i="3" s="1"/>
  <c r="C100" i="2"/>
  <c r="F101"/>
  <c r="I199" i="18"/>
  <c r="I201" s="1"/>
  <c r="I198"/>
  <c r="I161" s="1"/>
  <c r="I162" s="1"/>
  <c r="I163" s="1"/>
  <c r="I68" i="11"/>
  <c r="H198" i="18"/>
  <c r="H161" s="1"/>
  <c r="H162" s="1"/>
  <c r="H163" s="1"/>
  <c r="H199"/>
  <c r="H201" s="1"/>
  <c r="H68" i="11"/>
  <c r="G199" i="12"/>
  <c r="G201" s="1"/>
  <c r="G63" i="13"/>
  <c r="G198" i="12"/>
  <c r="G161" s="1"/>
  <c r="G162" s="1"/>
  <c r="G163" s="1"/>
  <c r="C5" i="14"/>
  <c r="B169" i="4"/>
  <c r="B5" i="14" s="1"/>
  <c r="F198" i="12"/>
  <c r="F161" s="1"/>
  <c r="F162" s="1"/>
  <c r="F163" s="1"/>
  <c r="F63" i="13"/>
  <c r="F199" i="12"/>
  <c r="F201" s="1"/>
  <c r="F211" s="1"/>
  <c r="E199"/>
  <c r="E201" s="1"/>
  <c r="E211" s="1"/>
  <c r="E198"/>
  <c r="E161" s="1"/>
  <c r="E162" s="1"/>
  <c r="E163" s="1"/>
  <c r="E63" i="13"/>
  <c r="I199" i="12"/>
  <c r="I201" s="1"/>
  <c r="I198"/>
  <c r="I161" s="1"/>
  <c r="I162" s="1"/>
  <c r="I163" s="1"/>
  <c r="I63" i="13"/>
  <c r="I101" i="2"/>
  <c r="H195" i="3" s="1"/>
  <c r="G198" i="18"/>
  <c r="G161" s="1"/>
  <c r="G162" s="1"/>
  <c r="G163" s="1"/>
  <c r="G199"/>
  <c r="G201" s="1"/>
  <c r="G68" i="11"/>
  <c r="F199" i="18"/>
  <c r="F201" s="1"/>
  <c r="F211" s="1"/>
  <c r="F68" i="11"/>
  <c r="F198" i="18"/>
  <c r="F161" s="1"/>
  <c r="F162" s="1"/>
  <c r="F163" s="1"/>
  <c r="E199"/>
  <c r="E201" s="1"/>
  <c r="E211" s="1"/>
  <c r="E68" i="11"/>
  <c r="E198" i="18"/>
  <c r="E161" s="1"/>
  <c r="E162" s="1"/>
  <c r="E163" s="1"/>
  <c r="H63" i="13"/>
  <c r="H199" i="12"/>
  <c r="H201" s="1"/>
  <c r="H198"/>
  <c r="H161" s="1"/>
  <c r="H162" s="1"/>
  <c r="H163" s="1"/>
  <c r="A48" i="5"/>
  <c r="K48" i="4" s="1"/>
  <c r="L48"/>
  <c r="H101" i="2"/>
  <c r="G195" i="3" s="1"/>
  <c r="C26" i="2"/>
  <c r="D40"/>
  <c r="C40" s="1"/>
  <c r="D41"/>
  <c r="J101"/>
  <c r="I195" i="3" s="1"/>
  <c r="C75" i="13"/>
  <c r="C98" s="1"/>
  <c r="F50" i="4"/>
  <c r="F127" s="1"/>
  <c r="H53" i="2"/>
  <c r="D179" i="9"/>
  <c r="D50"/>
  <c r="D127" s="1"/>
  <c r="D142" i="16"/>
  <c r="D143" s="1"/>
  <c r="D144" s="1"/>
  <c r="D131"/>
  <c r="G127" i="4"/>
  <c r="H60" i="2"/>
  <c r="E50" i="9"/>
  <c r="E127" s="1"/>
  <c r="E179"/>
  <c r="D50" i="6"/>
  <c r="D126" s="1"/>
  <c r="D213"/>
  <c r="C47" i="16"/>
  <c r="B24"/>
  <c r="E50" i="13"/>
  <c r="E127" s="1"/>
  <c r="E180"/>
  <c r="C47" i="11"/>
  <c r="B24"/>
  <c r="D153"/>
  <c r="B40" i="16"/>
  <c r="C47" i="17"/>
  <c r="B24"/>
  <c r="G40" i="11"/>
  <c r="C40"/>
  <c r="H40"/>
  <c r="D40"/>
  <c r="E40"/>
  <c r="F40"/>
  <c r="I40"/>
  <c r="B24" i="4"/>
  <c r="C47"/>
  <c r="D48" i="2"/>
  <c r="E179" i="16"/>
  <c r="E50"/>
  <c r="E127" s="1"/>
  <c r="E50" i="11"/>
  <c r="E149" s="1"/>
  <c r="E195"/>
  <c r="B40" i="9"/>
  <c r="I127" i="4"/>
  <c r="J60" i="2"/>
  <c r="D179" i="17"/>
  <c r="D50"/>
  <c r="D127" s="1"/>
  <c r="H40" i="13"/>
  <c r="D40"/>
  <c r="I40"/>
  <c r="E40"/>
  <c r="F40"/>
  <c r="G40"/>
  <c r="C40"/>
  <c r="D180"/>
  <c r="D50"/>
  <c r="D127" s="1"/>
  <c r="I53" i="2"/>
  <c r="H50" i="4"/>
  <c r="E53" i="2"/>
  <c r="D179" i="4"/>
  <c r="D50"/>
  <c r="C47" i="9"/>
  <c r="B24"/>
  <c r="C48" i="13"/>
  <c r="C47"/>
  <c r="B24"/>
  <c r="B40" i="17"/>
  <c r="B40" i="6"/>
  <c r="E179" i="17"/>
  <c r="E50"/>
  <c r="E127" s="1"/>
  <c r="C76" i="13"/>
  <c r="F53" i="2"/>
  <c r="E179" i="4"/>
  <c r="E50"/>
  <c r="C47" i="6"/>
  <c r="B24"/>
  <c r="H117" i="2" l="1"/>
  <c r="H122" s="1"/>
  <c r="H67"/>
  <c r="J117"/>
  <c r="J122" s="1"/>
  <c r="J67"/>
  <c r="H70" i="13"/>
  <c r="H69"/>
  <c r="E212" i="18"/>
  <c r="E189"/>
  <c r="F189"/>
  <c r="F212"/>
  <c r="I99" i="13"/>
  <c r="I88"/>
  <c r="I71"/>
  <c r="I83"/>
  <c r="I105"/>
  <c r="I107" s="1"/>
  <c r="I77"/>
  <c r="I93"/>
  <c r="E99"/>
  <c r="E77"/>
  <c r="E71"/>
  <c r="E93"/>
  <c r="E88"/>
  <c r="E105"/>
  <c r="F69"/>
  <c r="F70"/>
  <c r="G93"/>
  <c r="G105"/>
  <c r="G107" s="1"/>
  <c r="G99"/>
  <c r="G71"/>
  <c r="G88"/>
  <c r="G77"/>
  <c r="H211" i="18"/>
  <c r="H212" s="1"/>
  <c r="H81" i="11"/>
  <c r="I81"/>
  <c r="I211" i="18"/>
  <c r="I212" s="1"/>
  <c r="I117" i="2"/>
  <c r="G117"/>
  <c r="G63" i="17"/>
  <c r="G33" i="5"/>
  <c r="G63" i="4"/>
  <c r="G201" i="3"/>
  <c r="G63" i="9"/>
  <c r="G200" i="3"/>
  <c r="G162" s="1"/>
  <c r="G163" s="1"/>
  <c r="G164" s="1"/>
  <c r="G63" i="16"/>
  <c r="G63" i="6"/>
  <c r="H74" i="13"/>
  <c r="H211" i="12"/>
  <c r="H212" s="1"/>
  <c r="G94" i="11"/>
  <c r="G101"/>
  <c r="G78"/>
  <c r="G108"/>
  <c r="G115"/>
  <c r="G122"/>
  <c r="G124" s="1"/>
  <c r="G86"/>
  <c r="I70" i="13"/>
  <c r="I69"/>
  <c r="E69"/>
  <c r="E70"/>
  <c r="E76" s="1"/>
  <c r="B63"/>
  <c r="A63" s="1"/>
  <c r="F189" i="12"/>
  <c r="F212"/>
  <c r="I86" i="11"/>
  <c r="I115"/>
  <c r="I94"/>
  <c r="I101"/>
  <c r="I108"/>
  <c r="I122"/>
  <c r="I124" s="1"/>
  <c r="I78"/>
  <c r="B68"/>
  <c r="A68" s="1"/>
  <c r="D147" i="2"/>
  <c r="C41"/>
  <c r="C147" s="1"/>
  <c r="H99" i="13"/>
  <c r="H71"/>
  <c r="H83"/>
  <c r="H93"/>
  <c r="H105"/>
  <c r="H107" s="1"/>
  <c r="H88"/>
  <c r="H77"/>
  <c r="E108" i="11"/>
  <c r="E115"/>
  <c r="E86"/>
  <c r="E94"/>
  <c r="E122"/>
  <c r="E78"/>
  <c r="E101"/>
  <c r="F101"/>
  <c r="F108"/>
  <c r="F94"/>
  <c r="F122"/>
  <c r="F78"/>
  <c r="F86"/>
  <c r="F115"/>
  <c r="G81"/>
  <c r="G211" i="18"/>
  <c r="G212" s="1"/>
  <c r="H63" i="6"/>
  <c r="H201" i="3"/>
  <c r="H63" i="9"/>
  <c r="H200" i="3"/>
  <c r="H162" s="1"/>
  <c r="H163" s="1"/>
  <c r="H164" s="1"/>
  <c r="H63" i="16"/>
  <c r="H33" i="5"/>
  <c r="H63" i="17"/>
  <c r="H63" i="4"/>
  <c r="G74" i="13"/>
  <c r="G211" i="12"/>
  <c r="G212" s="1"/>
  <c r="F67" i="2"/>
  <c r="C101"/>
  <c r="E195" i="3"/>
  <c r="F63" i="9"/>
  <c r="F201" i="3"/>
  <c r="F63" i="16"/>
  <c r="F63" i="4"/>
  <c r="F63" i="17"/>
  <c r="F63" i="6"/>
  <c r="F33" i="5"/>
  <c r="F200" i="3"/>
  <c r="F162" s="1"/>
  <c r="F163" s="1"/>
  <c r="F164" s="1"/>
  <c r="I63" i="17"/>
  <c r="I63" i="4"/>
  <c r="I63" i="6"/>
  <c r="I201" i="3"/>
  <c r="I63" i="9"/>
  <c r="I200" i="3"/>
  <c r="I162" s="1"/>
  <c r="I163" s="1"/>
  <c r="I164" s="1"/>
  <c r="I63" i="16"/>
  <c r="I33" i="5"/>
  <c r="I74" i="13"/>
  <c r="I211" i="12"/>
  <c r="I212" s="1"/>
  <c r="E189"/>
  <c r="E212"/>
  <c r="F93" i="13"/>
  <c r="F105"/>
  <c r="F77"/>
  <c r="F99"/>
  <c r="F71"/>
  <c r="F88"/>
  <c r="G69"/>
  <c r="G70"/>
  <c r="H94" i="11"/>
  <c r="H101"/>
  <c r="H108"/>
  <c r="H122"/>
  <c r="H124" s="1"/>
  <c r="H78"/>
  <c r="H86"/>
  <c r="H115"/>
  <c r="I67" i="2"/>
  <c r="F117"/>
  <c r="G67"/>
  <c r="G60"/>
  <c r="G149" s="1"/>
  <c r="B40" i="13"/>
  <c r="C180"/>
  <c r="C50"/>
  <c r="C179" i="9"/>
  <c r="C50"/>
  <c r="D142" i="13"/>
  <c r="D143" s="1"/>
  <c r="D144" s="1"/>
  <c r="D131"/>
  <c r="D53" i="2"/>
  <c r="C179" i="4"/>
  <c r="C50"/>
  <c r="B47" i="11"/>
  <c r="A24"/>
  <c r="E127" i="4"/>
  <c r="F60" i="2"/>
  <c r="B47" i="13"/>
  <c r="A24"/>
  <c r="B47" i="9"/>
  <c r="A24"/>
  <c r="D127" i="4"/>
  <c r="E60" i="2"/>
  <c r="J140"/>
  <c r="J149"/>
  <c r="D130" i="6"/>
  <c r="D141"/>
  <c r="D142" s="1"/>
  <c r="D143" s="1"/>
  <c r="B40" i="11"/>
  <c r="C179" i="17"/>
  <c r="C50"/>
  <c r="D154" i="11"/>
  <c r="E21" i="14"/>
  <c r="H149" i="2"/>
  <c r="H140"/>
  <c r="D131" i="9"/>
  <c r="D142"/>
  <c r="D143" s="1"/>
  <c r="D144" s="1"/>
  <c r="C213" i="6"/>
  <c r="C50"/>
  <c r="H127" i="4"/>
  <c r="I60" i="2"/>
  <c r="D21" i="14"/>
  <c r="D142" i="17"/>
  <c r="D143" s="1"/>
  <c r="D144" s="1"/>
  <c r="D131"/>
  <c r="B47" i="4"/>
  <c r="A24"/>
  <c r="B47" i="17"/>
  <c r="A24"/>
  <c r="C195" i="11"/>
  <c r="C50"/>
  <c r="C179" i="16"/>
  <c r="C50"/>
  <c r="B47" i="6"/>
  <c r="A24"/>
  <c r="E10" i="14"/>
  <c r="D10"/>
  <c r="B47" i="16"/>
  <c r="A24"/>
  <c r="D132"/>
  <c r="H121" i="2" l="1"/>
  <c r="H78" i="13"/>
  <c r="H100" s="1"/>
  <c r="G140" i="2"/>
  <c r="F78" i="13"/>
  <c r="J121" i="2"/>
  <c r="I78" i="13"/>
  <c r="I94" s="1"/>
  <c r="H87" i="11"/>
  <c r="H116" s="1"/>
  <c r="I87"/>
  <c r="I102" s="1"/>
  <c r="F121" i="2"/>
  <c r="F128"/>
  <c r="F122"/>
  <c r="C117"/>
  <c r="H69" i="9"/>
  <c r="H70"/>
  <c r="I118" i="13"/>
  <c r="I104"/>
  <c r="I92"/>
  <c r="I87"/>
  <c r="I76"/>
  <c r="I81"/>
  <c r="I82" s="1"/>
  <c r="H213" i="12"/>
  <c r="H214"/>
  <c r="H84" i="13"/>
  <c r="Q33" i="4"/>
  <c r="G39" i="5"/>
  <c r="I214" i="18"/>
  <c r="I213"/>
  <c r="E214"/>
  <c r="E213"/>
  <c r="I214" i="12"/>
  <c r="I213"/>
  <c r="I88" i="16"/>
  <c r="I105" i="17"/>
  <c r="I107" s="1"/>
  <c r="I87" i="6"/>
  <c r="I99" i="16"/>
  <c r="I77" i="4"/>
  <c r="I93" i="17"/>
  <c r="I93" i="9"/>
  <c r="I99" i="4"/>
  <c r="I99" i="17"/>
  <c r="I88"/>
  <c r="I82" i="6"/>
  <c r="I77" i="16"/>
  <c r="I98" i="6"/>
  <c r="I83" i="17"/>
  <c r="I105" i="9"/>
  <c r="I107" s="1"/>
  <c r="I88" i="4"/>
  <c r="I105"/>
  <c r="I107" s="1"/>
  <c r="I77" i="9"/>
  <c r="I77" i="17"/>
  <c r="I88" i="9"/>
  <c r="I93" i="4"/>
  <c r="I105" i="16"/>
  <c r="I107" s="1"/>
  <c r="I83" i="4"/>
  <c r="I99" i="9"/>
  <c r="I93" i="16"/>
  <c r="I92" i="6"/>
  <c r="I83" i="9"/>
  <c r="I76" i="6"/>
  <c r="I83" i="16"/>
  <c r="I104" i="6"/>
  <c r="I106" s="1"/>
  <c r="I69" i="4"/>
  <c r="I70"/>
  <c r="F39" i="5"/>
  <c r="P33" i="4"/>
  <c r="F70" i="16"/>
  <c r="F69"/>
  <c r="H69" i="4"/>
  <c r="H70"/>
  <c r="H99" i="16"/>
  <c r="H77" i="4"/>
  <c r="H93" i="17"/>
  <c r="H104" i="6"/>
  <c r="H106" s="1"/>
  <c r="H99" i="4"/>
  <c r="H99" i="9"/>
  <c r="H82" i="6"/>
  <c r="H77" i="9"/>
  <c r="H77" i="16"/>
  <c r="H93"/>
  <c r="H93" i="9"/>
  <c r="H88" i="4"/>
  <c r="H88" i="16"/>
  <c r="H77" i="17"/>
  <c r="H88"/>
  <c r="H98" i="6"/>
  <c r="H93" i="4"/>
  <c r="H105" i="16"/>
  <c r="H107" s="1"/>
  <c r="H83" i="4"/>
  <c r="H99" i="17"/>
  <c r="H105" i="4"/>
  <c r="H107" s="1"/>
  <c r="H87" i="6"/>
  <c r="H83" i="17"/>
  <c r="H88" i="9"/>
  <c r="H76" i="6"/>
  <c r="H83" i="16"/>
  <c r="H83" i="9"/>
  <c r="H92" i="6"/>
  <c r="H105" i="9"/>
  <c r="H107" s="1"/>
  <c r="H105" i="17"/>
  <c r="H107" s="1"/>
  <c r="G213" i="18"/>
  <c r="G214"/>
  <c r="F188" i="12"/>
  <c r="F120" i="13" s="1"/>
  <c r="G69" i="16"/>
  <c r="G70"/>
  <c r="G70" i="4"/>
  <c r="G69"/>
  <c r="I121" i="2"/>
  <c r="I122"/>
  <c r="H214" i="18"/>
  <c r="H213"/>
  <c r="H79" i="11"/>
  <c r="H80" s="1"/>
  <c r="H82" s="1"/>
  <c r="H109"/>
  <c r="H95"/>
  <c r="E188" i="18"/>
  <c r="E142" i="11" s="1"/>
  <c r="F87"/>
  <c r="I79"/>
  <c r="I80" s="1"/>
  <c r="I82" s="1"/>
  <c r="I108" i="13"/>
  <c r="E78"/>
  <c r="I70" i="9"/>
  <c r="I69"/>
  <c r="I69" i="17"/>
  <c r="I70"/>
  <c r="F69" i="6"/>
  <c r="F68"/>
  <c r="F203" i="3"/>
  <c r="F214" s="1"/>
  <c r="F143"/>
  <c r="H69" i="17"/>
  <c r="H70"/>
  <c r="G77" i="16"/>
  <c r="G76" i="6"/>
  <c r="G83" i="16"/>
  <c r="G88" i="4"/>
  <c r="G93" i="16"/>
  <c r="G77" i="17"/>
  <c r="G77" i="9"/>
  <c r="G105" i="16"/>
  <c r="G107" s="1"/>
  <c r="G88" i="9"/>
  <c r="G88" i="16"/>
  <c r="G92" i="6"/>
  <c r="G88" i="17"/>
  <c r="G93"/>
  <c r="G104" i="6"/>
  <c r="G106" s="1"/>
  <c r="G83" i="17"/>
  <c r="G83" i="9"/>
  <c r="G105" i="17"/>
  <c r="G107" s="1"/>
  <c r="G87" i="6"/>
  <c r="G77" i="4"/>
  <c r="G105"/>
  <c r="G107" s="1"/>
  <c r="G93" i="9"/>
  <c r="G99" i="17"/>
  <c r="G99" i="9"/>
  <c r="G93" i="4"/>
  <c r="G105" i="9"/>
  <c r="G107" s="1"/>
  <c r="G99" i="4"/>
  <c r="G98" i="6"/>
  <c r="G99" i="16"/>
  <c r="E188" i="12"/>
  <c r="E111" i="13" s="1"/>
  <c r="E112" s="1"/>
  <c r="I70" i="16"/>
  <c r="I69"/>
  <c r="I69" i="6"/>
  <c r="I68"/>
  <c r="F83" i="16"/>
  <c r="F93" i="4"/>
  <c r="F92" i="6"/>
  <c r="F88" i="16"/>
  <c r="F87" i="6"/>
  <c r="F99" i="17"/>
  <c r="F88" i="4"/>
  <c r="F105"/>
  <c r="F98" i="6"/>
  <c r="F99" i="16"/>
  <c r="F93" i="17"/>
  <c r="F77" i="9"/>
  <c r="F77" i="4"/>
  <c r="F83" i="9"/>
  <c r="F93"/>
  <c r="F105"/>
  <c r="F105" i="17"/>
  <c r="F77"/>
  <c r="F99" i="4"/>
  <c r="F93" i="16"/>
  <c r="F77"/>
  <c r="F105"/>
  <c r="F99" i="9"/>
  <c r="F88"/>
  <c r="F104" i="6"/>
  <c r="F76"/>
  <c r="F88" i="17"/>
  <c r="F83"/>
  <c r="F70" i="4"/>
  <c r="F69"/>
  <c r="E63" i="6"/>
  <c r="E200" i="3"/>
  <c r="E162" s="1"/>
  <c r="E163" s="1"/>
  <c r="E164" s="1"/>
  <c r="E63" i="9"/>
  <c r="B195" i="3"/>
  <c r="E63" i="16"/>
  <c r="E33" i="5"/>
  <c r="E63" i="17"/>
  <c r="E63" i="4"/>
  <c r="E201" i="3"/>
  <c r="H70" i="16"/>
  <c r="H69"/>
  <c r="H68" i="6"/>
  <c r="H69"/>
  <c r="F213" i="12"/>
  <c r="F214"/>
  <c r="G68" i="6"/>
  <c r="G69"/>
  <c r="G203" i="3"/>
  <c r="G71" i="16" s="1"/>
  <c r="G143" i="3"/>
  <c r="G121" i="2"/>
  <c r="G128"/>
  <c r="G122"/>
  <c r="F118" i="13"/>
  <c r="F87"/>
  <c r="F76"/>
  <c r="F92"/>
  <c r="F104"/>
  <c r="F188" i="18"/>
  <c r="F142" i="11" s="1"/>
  <c r="H76" i="13"/>
  <c r="H81"/>
  <c r="H82" s="1"/>
  <c r="H118"/>
  <c r="H92"/>
  <c r="H87"/>
  <c r="H104"/>
  <c r="G108"/>
  <c r="G78"/>
  <c r="G84" s="1"/>
  <c r="G92"/>
  <c r="G81"/>
  <c r="G82" s="1"/>
  <c r="G87"/>
  <c r="G104"/>
  <c r="G76"/>
  <c r="B76" s="1"/>
  <c r="A76" s="1"/>
  <c r="G118"/>
  <c r="E213" i="12"/>
  <c r="E214"/>
  <c r="I39" i="5"/>
  <c r="S33" i="4"/>
  <c r="I203" i="3"/>
  <c r="I71" i="16" s="1"/>
  <c r="I143" i="3"/>
  <c r="F70" i="17"/>
  <c r="F69"/>
  <c r="F69" i="9"/>
  <c r="F70"/>
  <c r="G213" i="12"/>
  <c r="G214"/>
  <c r="H39" i="5"/>
  <c r="R33" i="4"/>
  <c r="H143" i="3"/>
  <c r="H203"/>
  <c r="H70" i="6" s="1"/>
  <c r="H77" s="1"/>
  <c r="E104" i="13"/>
  <c r="B70"/>
  <c r="E118"/>
  <c r="G69" i="9"/>
  <c r="G70"/>
  <c r="G69" i="17"/>
  <c r="G70"/>
  <c r="F213" i="18"/>
  <c r="F214"/>
  <c r="E87" i="11"/>
  <c r="G87"/>
  <c r="G79" s="1"/>
  <c r="G80" s="1"/>
  <c r="G82" s="1"/>
  <c r="H108" i="13"/>
  <c r="D132" i="17"/>
  <c r="B195" i="11"/>
  <c r="C126" i="6"/>
  <c r="B50"/>
  <c r="E149" i="2"/>
  <c r="E140"/>
  <c r="E139" s="1"/>
  <c r="F140"/>
  <c r="F149"/>
  <c r="B180" i="13"/>
  <c r="C21" i="14"/>
  <c r="B21" s="1"/>
  <c r="B179" i="16"/>
  <c r="B50" i="11"/>
  <c r="C149"/>
  <c r="D131" i="6"/>
  <c r="D132" i="13"/>
  <c r="B50"/>
  <c r="C127"/>
  <c r="B179" i="17"/>
  <c r="C10" i="14"/>
  <c r="B10" s="1"/>
  <c r="B179" i="4"/>
  <c r="B179" i="9"/>
  <c r="I149" i="2"/>
  <c r="I140"/>
  <c r="D132" i="9"/>
  <c r="C127" i="16"/>
  <c r="B50"/>
  <c r="C127" i="17"/>
  <c r="B50"/>
  <c r="D142" i="4"/>
  <c r="D143" s="1"/>
  <c r="D144" s="1"/>
  <c r="D131"/>
  <c r="C127"/>
  <c r="B50"/>
  <c r="D60" i="2"/>
  <c r="C127" i="9"/>
  <c r="B50"/>
  <c r="G108" i="17" l="1"/>
  <c r="G108" i="9"/>
  <c r="G78" i="16"/>
  <c r="F71" i="4"/>
  <c r="F78" s="1"/>
  <c r="I108" i="9"/>
  <c r="H102" i="11"/>
  <c r="G100" i="13"/>
  <c r="I108" i="16"/>
  <c r="H108"/>
  <c r="H94" i="13"/>
  <c r="I78" i="16"/>
  <c r="G107" i="6"/>
  <c r="H72" i="13"/>
  <c r="H73" s="1"/>
  <c r="H75" s="1"/>
  <c r="H98" s="1"/>
  <c r="H121" s="1"/>
  <c r="H122" s="1"/>
  <c r="I84"/>
  <c r="H89"/>
  <c r="I72"/>
  <c r="I73" s="1"/>
  <c r="I75" s="1"/>
  <c r="I98" s="1"/>
  <c r="I89"/>
  <c r="I100"/>
  <c r="H107" i="6"/>
  <c r="E120" i="13"/>
  <c r="B120" s="1"/>
  <c r="A120" s="1"/>
  <c r="I107" i="6"/>
  <c r="I116" i="11"/>
  <c r="I95"/>
  <c r="I108" i="17"/>
  <c r="I109" i="11"/>
  <c r="F71" i="16"/>
  <c r="F78" s="1"/>
  <c r="F71" i="9"/>
  <c r="F78" s="1"/>
  <c r="F70" i="6"/>
  <c r="F77" s="1"/>
  <c r="E113" i="13"/>
  <c r="E95" s="1"/>
  <c r="E96" s="1"/>
  <c r="F71" i="17"/>
  <c r="F78" s="1"/>
  <c r="F111" i="13"/>
  <c r="I108" i="4"/>
  <c r="F76" i="9"/>
  <c r="F118"/>
  <c r="F92"/>
  <c r="F104"/>
  <c r="F87"/>
  <c r="I143" i="12"/>
  <c r="I143" i="18"/>
  <c r="C128" i="2"/>
  <c r="G131"/>
  <c r="G132"/>
  <c r="G134"/>
  <c r="G133"/>
  <c r="G75" i="6"/>
  <c r="G91"/>
  <c r="G86"/>
  <c r="G80"/>
  <c r="G81" s="1"/>
  <c r="G117"/>
  <c r="G103"/>
  <c r="H87" i="16"/>
  <c r="H81"/>
  <c r="H82" s="1"/>
  <c r="H76"/>
  <c r="H104"/>
  <c r="H92"/>
  <c r="H118"/>
  <c r="E39" i="5"/>
  <c r="B33"/>
  <c r="O33" i="4"/>
  <c r="E77" i="17"/>
  <c r="E93"/>
  <c r="E88" i="16"/>
  <c r="E87" i="6"/>
  <c r="E83" i="9"/>
  <c r="E105"/>
  <c r="E105" i="17"/>
  <c r="E88" i="9"/>
  <c r="E92" i="6"/>
  <c r="E77" i="4"/>
  <c r="E76" i="6"/>
  <c r="E105" i="4"/>
  <c r="E93" i="9"/>
  <c r="E99" i="16"/>
  <c r="E77" i="9"/>
  <c r="E83" i="16"/>
  <c r="E105"/>
  <c r="E99" i="9"/>
  <c r="E99" i="17"/>
  <c r="E93" i="4"/>
  <c r="E77" i="16"/>
  <c r="E93"/>
  <c r="E104" i="6"/>
  <c r="E88" i="4"/>
  <c r="E99"/>
  <c r="E88" i="17"/>
  <c r="E83"/>
  <c r="E98" i="6"/>
  <c r="I118" i="16"/>
  <c r="I104"/>
  <c r="I87"/>
  <c r="I76"/>
  <c r="I92"/>
  <c r="I81"/>
  <c r="I82" s="1"/>
  <c r="H118" i="17"/>
  <c r="H104"/>
  <c r="H87"/>
  <c r="H81"/>
  <c r="H82" s="1"/>
  <c r="H92"/>
  <c r="H76"/>
  <c r="H92" i="4"/>
  <c r="I144" i="2" s="1"/>
  <c r="H87" i="4"/>
  <c r="H76"/>
  <c r="H104"/>
  <c r="H118"/>
  <c r="H81"/>
  <c r="H82" s="1"/>
  <c r="G72" i="13"/>
  <c r="G73" s="1"/>
  <c r="G75" s="1"/>
  <c r="G98" s="1"/>
  <c r="G121" s="1"/>
  <c r="G122" s="1"/>
  <c r="E129" i="11"/>
  <c r="G108" i="16"/>
  <c r="G95" i="11"/>
  <c r="H71" i="16"/>
  <c r="H78" s="1"/>
  <c r="I70" i="6"/>
  <c r="I77" s="1"/>
  <c r="H108" i="9"/>
  <c r="G76" i="17"/>
  <c r="G118"/>
  <c r="G104"/>
  <c r="G92"/>
  <c r="G81"/>
  <c r="G82" s="1"/>
  <c r="G87"/>
  <c r="H143" i="12"/>
  <c r="H143" i="18"/>
  <c r="F87" i="17"/>
  <c r="F104"/>
  <c r="F76"/>
  <c r="F118"/>
  <c r="F92"/>
  <c r="S39" i="4"/>
  <c r="I44" i="5"/>
  <c r="G71" i="17"/>
  <c r="G78" s="1"/>
  <c r="G74" i="16"/>
  <c r="G73" i="6"/>
  <c r="G74" i="17"/>
  <c r="G74" i="9"/>
  <c r="G214" i="3"/>
  <c r="G215" s="1"/>
  <c r="G74" i="4"/>
  <c r="E69" i="17"/>
  <c r="E70"/>
  <c r="B63"/>
  <c r="A63" s="1"/>
  <c r="E70" i="9"/>
  <c r="E69"/>
  <c r="B63"/>
  <c r="A63" s="1"/>
  <c r="F76" i="4"/>
  <c r="F118"/>
  <c r="F92"/>
  <c r="G144" i="2" s="1"/>
  <c r="F87" i="4"/>
  <c r="F104"/>
  <c r="F191" i="3"/>
  <c r="F215"/>
  <c r="G76" i="16"/>
  <c r="G81"/>
  <c r="G82" s="1"/>
  <c r="G118"/>
  <c r="G104"/>
  <c r="G92"/>
  <c r="G87"/>
  <c r="F118"/>
  <c r="F104"/>
  <c r="F76"/>
  <c r="F92"/>
  <c r="F87"/>
  <c r="H87" i="9"/>
  <c r="H76"/>
  <c r="H104"/>
  <c r="H118"/>
  <c r="H81"/>
  <c r="H82" s="1"/>
  <c r="H92"/>
  <c r="F133" i="2"/>
  <c r="F134"/>
  <c r="F131"/>
  <c r="F132"/>
  <c r="B118" i="13"/>
  <c r="A118" s="1"/>
  <c r="G89"/>
  <c r="G70" i="6"/>
  <c r="G77" s="1"/>
  <c r="G109" i="11"/>
  <c r="I71" i="17"/>
  <c r="I78" s="1"/>
  <c r="H71" i="4"/>
  <c r="H78" s="1"/>
  <c r="H214" i="3"/>
  <c r="H215" s="1"/>
  <c r="H74" i="9"/>
  <c r="H74" i="16"/>
  <c r="H74" i="4"/>
  <c r="H73" i="6"/>
  <c r="H74" i="17"/>
  <c r="G143" i="12"/>
  <c r="G143" i="18"/>
  <c r="E69" i="4"/>
  <c r="E70"/>
  <c r="B63"/>
  <c r="A63" s="1"/>
  <c r="I75" i="6"/>
  <c r="I86"/>
  <c r="I117"/>
  <c r="I80"/>
  <c r="I81" s="1"/>
  <c r="I91"/>
  <c r="I103"/>
  <c r="E117" i="13"/>
  <c r="F143" i="12"/>
  <c r="F143" i="18"/>
  <c r="I87" i="17"/>
  <c r="I92"/>
  <c r="I76"/>
  <c r="I81"/>
  <c r="I82" s="1"/>
  <c r="I118"/>
  <c r="I104"/>
  <c r="G118" i="4"/>
  <c r="G81"/>
  <c r="G82" s="1"/>
  <c r="G92"/>
  <c r="H144" i="2" s="1"/>
  <c r="G87" i="4"/>
  <c r="G76"/>
  <c r="G104"/>
  <c r="I92"/>
  <c r="J144" i="2" s="1"/>
  <c r="I81" i="4"/>
  <c r="I82" s="1"/>
  <c r="I87"/>
  <c r="I76"/>
  <c r="I118"/>
  <c r="I104"/>
  <c r="G71" i="9"/>
  <c r="G78" s="1"/>
  <c r="B142" i="11"/>
  <c r="A142" s="1"/>
  <c r="G102"/>
  <c r="H71" i="17"/>
  <c r="H78" s="1"/>
  <c r="I121" i="13"/>
  <c r="I122" s="1"/>
  <c r="C122" i="2"/>
  <c r="G76" i="9"/>
  <c r="G92"/>
  <c r="G87"/>
  <c r="G81"/>
  <c r="G82" s="1"/>
  <c r="G118"/>
  <c r="G104"/>
  <c r="R39" i="4"/>
  <c r="H44" i="5"/>
  <c r="I71" i="9"/>
  <c r="I78" s="1"/>
  <c r="I73" i="6"/>
  <c r="I74" i="4"/>
  <c r="I214" i="3"/>
  <c r="I215" s="1"/>
  <c r="I74" i="16"/>
  <c r="I74" i="9"/>
  <c r="I74" i="17"/>
  <c r="H91" i="6"/>
  <c r="H86"/>
  <c r="H80"/>
  <c r="H81" s="1"/>
  <c r="H117"/>
  <c r="H103"/>
  <c r="H75"/>
  <c r="E143" i="3"/>
  <c r="E203"/>
  <c r="E214" s="1"/>
  <c r="E70" i="16"/>
  <c r="E69"/>
  <c r="B63"/>
  <c r="A63" s="1"/>
  <c r="B63" i="6"/>
  <c r="A63" s="1"/>
  <c r="E68"/>
  <c r="E69"/>
  <c r="F91"/>
  <c r="F86"/>
  <c r="F103"/>
  <c r="F75"/>
  <c r="F117"/>
  <c r="I87" i="9"/>
  <c r="I104"/>
  <c r="I76"/>
  <c r="I81"/>
  <c r="I82" s="1"/>
  <c r="I92"/>
  <c r="I118"/>
  <c r="P39" i="4"/>
  <c r="F44" i="5"/>
  <c r="Q39" i="4"/>
  <c r="G44" i="5"/>
  <c r="B104" i="13"/>
  <c r="A104" s="1"/>
  <c r="G94"/>
  <c r="F129" i="11"/>
  <c r="G71" i="4"/>
  <c r="G78" s="1"/>
  <c r="H108" i="17"/>
  <c r="G108" i="4"/>
  <c r="G116" i="11"/>
  <c r="H71" i="9"/>
  <c r="H78" s="1"/>
  <c r="H108" i="4"/>
  <c r="I71"/>
  <c r="I78" s="1"/>
  <c r="C131" i="9"/>
  <c r="B127"/>
  <c r="D132" i="4"/>
  <c r="C131" i="13"/>
  <c r="B127"/>
  <c r="B149" i="11"/>
  <c r="C153"/>
  <c r="C130" i="6"/>
  <c r="B126"/>
  <c r="C131" i="4"/>
  <c r="B127"/>
  <c r="C131" i="17"/>
  <c r="B127"/>
  <c r="D149" i="2"/>
  <c r="D140"/>
  <c r="C60"/>
  <c r="C149" s="1"/>
  <c r="C92" i="4" s="1"/>
  <c r="B127" i="16"/>
  <c r="C131"/>
  <c r="E90" i="13" l="1"/>
  <c r="E91" s="1"/>
  <c r="E92" s="1"/>
  <c r="B92" s="1"/>
  <c r="A92" s="1"/>
  <c r="E106"/>
  <c r="E107" s="1"/>
  <c r="E108" s="1"/>
  <c r="E85"/>
  <c r="E79"/>
  <c r="E80" s="1"/>
  <c r="E81" s="1"/>
  <c r="E82" s="1"/>
  <c r="E101"/>
  <c r="E102" s="1"/>
  <c r="E74"/>
  <c r="C134" i="2"/>
  <c r="F112" i="13"/>
  <c r="F113"/>
  <c r="E84"/>
  <c r="E94"/>
  <c r="E100"/>
  <c r="E89"/>
  <c r="E72"/>
  <c r="E73" s="1"/>
  <c r="E75" s="1"/>
  <c r="E98" s="1"/>
  <c r="F136" i="2"/>
  <c r="E191" i="3"/>
  <c r="E215"/>
  <c r="R44" i="4"/>
  <c r="H45" i="5"/>
  <c r="E118" i="16"/>
  <c r="B118" s="1"/>
  <c r="A118" s="1"/>
  <c r="E104"/>
  <c r="B104" s="1"/>
  <c r="A104" s="1"/>
  <c r="B70"/>
  <c r="I100" i="17"/>
  <c r="I89"/>
  <c r="I100" i="16"/>
  <c r="I100" i="9"/>
  <c r="I93" i="6"/>
  <c r="I72" i="4"/>
  <c r="I73" s="1"/>
  <c r="I75" s="1"/>
  <c r="I98" s="1"/>
  <c r="I121" s="1"/>
  <c r="I122" s="1"/>
  <c r="I94"/>
  <c r="I72" i="17"/>
  <c r="I73" s="1"/>
  <c r="I75" s="1"/>
  <c r="I98" s="1"/>
  <c r="I121" s="1"/>
  <c r="I122" s="1"/>
  <c r="I89" i="16"/>
  <c r="I83" i="6"/>
  <c r="I99"/>
  <c r="I84" i="4"/>
  <c r="I100"/>
  <c r="I84" i="17"/>
  <c r="I72" i="16"/>
  <c r="I73" s="1"/>
  <c r="I75" s="1"/>
  <c r="I98" s="1"/>
  <c r="I121" s="1"/>
  <c r="I122" s="1"/>
  <c r="I89" i="9"/>
  <c r="I88" i="6"/>
  <c r="I72" i="9"/>
  <c r="I73" s="1"/>
  <c r="I75" s="1"/>
  <c r="I98" s="1"/>
  <c r="I121" s="1"/>
  <c r="I122" s="1"/>
  <c r="I71" i="6"/>
  <c r="I72" s="1"/>
  <c r="I74" s="1"/>
  <c r="I97" s="1"/>
  <c r="I120" s="1"/>
  <c r="I121" s="1"/>
  <c r="I217" i="3"/>
  <c r="I94" i="17"/>
  <c r="I84" i="16"/>
  <c r="I94"/>
  <c r="I94" i="9"/>
  <c r="I84"/>
  <c r="I89" i="4"/>
  <c r="I216" i="3"/>
  <c r="F190"/>
  <c r="F120" i="16" s="1"/>
  <c r="B70" i="9"/>
  <c r="E118"/>
  <c r="B118" s="1"/>
  <c r="A118" s="1"/>
  <c r="E104"/>
  <c r="B104" s="1"/>
  <c r="A104" s="1"/>
  <c r="I45" i="5"/>
  <c r="S44" i="4"/>
  <c r="E130" i="11"/>
  <c r="E131"/>
  <c r="B39" i="5"/>
  <c r="L39" i="4" s="1"/>
  <c r="O39"/>
  <c r="E44" i="5"/>
  <c r="E70" i="6"/>
  <c r="E77" s="1"/>
  <c r="C131" i="2"/>
  <c r="F130" i="11"/>
  <c r="F131"/>
  <c r="Q44" i="4"/>
  <c r="G45" i="5"/>
  <c r="E103" i="6"/>
  <c r="B103" s="1"/>
  <c r="A103" s="1"/>
  <c r="B69"/>
  <c r="E117"/>
  <c r="B117" s="1"/>
  <c r="A117" s="1"/>
  <c r="F216" i="3"/>
  <c r="F217"/>
  <c r="L33" i="4"/>
  <c r="A33" i="5"/>
  <c r="K33" i="4" s="1"/>
  <c r="E71" i="17"/>
  <c r="E78" s="1"/>
  <c r="G135" i="2"/>
  <c r="H128" i="13"/>
  <c r="H129" s="1"/>
  <c r="H138"/>
  <c r="P44" i="4"/>
  <c r="F45" i="5"/>
  <c r="E143" i="12"/>
  <c r="E143" i="18"/>
  <c r="B143" i="3"/>
  <c r="I128" i="13"/>
  <c r="I129" s="1"/>
  <c r="I138"/>
  <c r="H84" i="17"/>
  <c r="H94" i="16"/>
  <c r="H94" i="9"/>
  <c r="H84"/>
  <c r="H89" i="4"/>
  <c r="H84"/>
  <c r="H216" i="3"/>
  <c r="H94" i="17"/>
  <c r="H100" i="9"/>
  <c r="H94" i="4"/>
  <c r="H100" i="17"/>
  <c r="H89" i="16"/>
  <c r="H72"/>
  <c r="H73" s="1"/>
  <c r="H75" s="1"/>
  <c r="H98" s="1"/>
  <c r="H121" s="1"/>
  <c r="H122" s="1"/>
  <c r="H99" i="6"/>
  <c r="H89" i="9"/>
  <c r="H100" i="4"/>
  <c r="H217" i="3"/>
  <c r="H100" i="16"/>
  <c r="H83" i="6"/>
  <c r="H89" i="17"/>
  <c r="H72"/>
  <c r="H73" s="1"/>
  <c r="H75" s="1"/>
  <c r="H98" s="1"/>
  <c r="H121" s="1"/>
  <c r="H122" s="1"/>
  <c r="H84" i="16"/>
  <c r="H88" i="6"/>
  <c r="H72" i="9"/>
  <c r="H73" s="1"/>
  <c r="H75" s="1"/>
  <c r="H98" s="1"/>
  <c r="H121" s="1"/>
  <c r="H122" s="1"/>
  <c r="H71" i="6"/>
  <c r="H72" s="1"/>
  <c r="H74" s="1"/>
  <c r="H97" s="1"/>
  <c r="H120" s="1"/>
  <c r="H121" s="1"/>
  <c r="H72" i="4"/>
  <c r="H73" s="1"/>
  <c r="H75" s="1"/>
  <c r="H98" s="1"/>
  <c r="H121" s="1"/>
  <c r="H122" s="1"/>
  <c r="H93" i="6"/>
  <c r="F135" i="2"/>
  <c r="C132"/>
  <c r="B70" i="17"/>
  <c r="E118"/>
  <c r="B118" s="1"/>
  <c r="A118" s="1"/>
  <c r="E104"/>
  <c r="B104" s="1"/>
  <c r="A104" s="1"/>
  <c r="E71" i="9"/>
  <c r="E78" s="1"/>
  <c r="B70" i="4"/>
  <c r="E118"/>
  <c r="B118" s="1"/>
  <c r="A118" s="1"/>
  <c r="E104"/>
  <c r="B104" s="1"/>
  <c r="A104" s="1"/>
  <c r="G84" i="17"/>
  <c r="G89"/>
  <c r="G72" i="16"/>
  <c r="G73" s="1"/>
  <c r="G75" s="1"/>
  <c r="G98" s="1"/>
  <c r="G121" s="1"/>
  <c r="G122" s="1"/>
  <c r="G93" i="6"/>
  <c r="G83"/>
  <c r="G100" i="4"/>
  <c r="G89"/>
  <c r="G94" i="17"/>
  <c r="G84" i="16"/>
  <c r="G99" i="6"/>
  <c r="G89" i="9"/>
  <c r="G71" i="6"/>
  <c r="G72" s="1"/>
  <c r="G74" s="1"/>
  <c r="G97" s="1"/>
  <c r="G120" s="1"/>
  <c r="G121" s="1"/>
  <c r="G72" i="4"/>
  <c r="G73" s="1"/>
  <c r="G75" s="1"/>
  <c r="G98" s="1"/>
  <c r="G121" s="1"/>
  <c r="G122" s="1"/>
  <c r="G100" i="17"/>
  <c r="G94" i="16"/>
  <c r="G100" i="9"/>
  <c r="G72"/>
  <c r="G73" s="1"/>
  <c r="G75" s="1"/>
  <c r="G98" s="1"/>
  <c r="G121" s="1"/>
  <c r="G122" s="1"/>
  <c r="G88" i="6"/>
  <c r="G84" i="4"/>
  <c r="G216" i="3"/>
  <c r="G72" i="17"/>
  <c r="G73" s="1"/>
  <c r="G75" s="1"/>
  <c r="G98" s="1"/>
  <c r="G121" s="1"/>
  <c r="G122" s="1"/>
  <c r="G100" i="16"/>
  <c r="G89"/>
  <c r="G84" i="9"/>
  <c r="G94"/>
  <c r="G94" i="4"/>
  <c r="G217" i="3"/>
  <c r="G138" i="13"/>
  <c r="G128"/>
  <c r="G129" s="1"/>
  <c r="C133" i="2"/>
  <c r="G136"/>
  <c r="E71" i="4"/>
  <c r="E78" s="1"/>
  <c r="E71" i="16"/>
  <c r="E78" s="1"/>
  <c r="D144" i="2"/>
  <c r="C132" i="4"/>
  <c r="C154" i="11"/>
  <c r="B154" s="1"/>
  <c r="C132" i="13"/>
  <c r="B132" s="1"/>
  <c r="C132" i="16"/>
  <c r="B132" s="1"/>
  <c r="C131" i="6"/>
  <c r="B131" s="1"/>
  <c r="C140" i="2"/>
  <c r="C132" i="17"/>
  <c r="B132" s="1"/>
  <c r="C132" i="9"/>
  <c r="B132" s="1"/>
  <c r="C136" i="2" l="1"/>
  <c r="F94" i="13"/>
  <c r="F72"/>
  <c r="F73" s="1"/>
  <c r="F100"/>
  <c r="F84"/>
  <c r="F89"/>
  <c r="F106"/>
  <c r="F107" s="1"/>
  <c r="F108" s="1"/>
  <c r="B108" s="1"/>
  <c r="A108" s="1"/>
  <c r="F74"/>
  <c r="F85"/>
  <c r="F117"/>
  <c r="B117" s="1"/>
  <c r="A117" s="1"/>
  <c r="F101"/>
  <c r="F102" s="1"/>
  <c r="F95"/>
  <c r="F96" s="1"/>
  <c r="B113"/>
  <c r="A113" s="1"/>
  <c r="F90"/>
  <c r="F91" s="1"/>
  <c r="F79"/>
  <c r="F80" s="1"/>
  <c r="F81" s="1"/>
  <c r="F82" s="1"/>
  <c r="J150" i="2"/>
  <c r="I128" i="4"/>
  <c r="I129" s="1"/>
  <c r="I138"/>
  <c r="J137" i="2"/>
  <c r="J138" s="1"/>
  <c r="J139" s="1"/>
  <c r="J141" s="1"/>
  <c r="H150"/>
  <c r="G128" i="4"/>
  <c r="G129" s="1"/>
  <c r="G138"/>
  <c r="H137" i="2"/>
  <c r="H138" s="1"/>
  <c r="H139" s="1"/>
  <c r="H141" s="1"/>
  <c r="G134" i="13"/>
  <c r="G135" s="1"/>
  <c r="G136" s="1"/>
  <c r="G130"/>
  <c r="G131" s="1"/>
  <c r="G128" i="17"/>
  <c r="G129" s="1"/>
  <c r="G138"/>
  <c r="G138" i="9"/>
  <c r="G128"/>
  <c r="G129" s="1"/>
  <c r="I134" i="13"/>
  <c r="I135" s="1"/>
  <c r="I136" s="1"/>
  <c r="I130"/>
  <c r="I131" s="1"/>
  <c r="P45" i="4"/>
  <c r="F46" i="5"/>
  <c r="P46" i="4" s="1"/>
  <c r="Q45"/>
  <c r="G46" i="5"/>
  <c r="Q46" i="4" s="1"/>
  <c r="O44"/>
  <c r="E45" i="5"/>
  <c r="E190" i="3"/>
  <c r="E120" i="16" s="1"/>
  <c r="B120" s="1"/>
  <c r="A120" s="1"/>
  <c r="F111" i="17"/>
  <c r="F119" i="6"/>
  <c r="F120" i="9"/>
  <c r="G138" i="16"/>
  <c r="G128"/>
  <c r="G129" s="1"/>
  <c r="H138" i="9"/>
  <c r="H128"/>
  <c r="H129" s="1"/>
  <c r="H134" i="13"/>
  <c r="H135" s="1"/>
  <c r="H136" s="1"/>
  <c r="H130"/>
  <c r="H131" s="1"/>
  <c r="E123" i="11"/>
  <c r="E124" s="1"/>
  <c r="E88"/>
  <c r="E89" s="1"/>
  <c r="E137"/>
  <c r="E81"/>
  <c r="E96"/>
  <c r="E97" s="1"/>
  <c r="E117"/>
  <c r="E118" s="1"/>
  <c r="E103"/>
  <c r="E104" s="1"/>
  <c r="E110"/>
  <c r="E111" s="1"/>
  <c r="E102"/>
  <c r="E79"/>
  <c r="E80" s="1"/>
  <c r="E116"/>
  <c r="E95"/>
  <c r="E109"/>
  <c r="I138" i="17"/>
  <c r="I128"/>
  <c r="I129" s="1"/>
  <c r="E216" i="3"/>
  <c r="E217"/>
  <c r="F111" i="4"/>
  <c r="F120"/>
  <c r="G170" i="6"/>
  <c r="G127"/>
  <c r="G128" s="1"/>
  <c r="G137"/>
  <c r="H170"/>
  <c r="H137"/>
  <c r="H127"/>
  <c r="H128" s="1"/>
  <c r="H128" i="17"/>
  <c r="H129" s="1"/>
  <c r="H138"/>
  <c r="H128" i="16"/>
  <c r="H129" s="1"/>
  <c r="H138"/>
  <c r="F123" i="11"/>
  <c r="F124" s="1"/>
  <c r="F103"/>
  <c r="F104" s="1"/>
  <c r="F137"/>
  <c r="F110"/>
  <c r="F111" s="1"/>
  <c r="F88"/>
  <c r="F89" s="1"/>
  <c r="F117"/>
  <c r="F118" s="1"/>
  <c r="F81"/>
  <c r="F96"/>
  <c r="F97" s="1"/>
  <c r="F116"/>
  <c r="F102"/>
  <c r="F95"/>
  <c r="F109"/>
  <c r="F79"/>
  <c r="F80" s="1"/>
  <c r="S45" i="4"/>
  <c r="I46" i="5"/>
  <c r="S46" i="4" s="1"/>
  <c r="I138" i="9"/>
  <c r="I128"/>
  <c r="I129" s="1"/>
  <c r="F110" i="6"/>
  <c r="F111" i="9"/>
  <c r="H138" i="4"/>
  <c r="H128"/>
  <c r="H129" s="1"/>
  <c r="I150" i="2"/>
  <c r="I137"/>
  <c r="I138" s="1"/>
  <c r="I139" s="1"/>
  <c r="I141" s="1"/>
  <c r="A144" i="3"/>
  <c r="B144"/>
  <c r="I170" i="6"/>
  <c r="I127"/>
  <c r="I128" s="1"/>
  <c r="I137"/>
  <c r="I138" i="16"/>
  <c r="I128"/>
  <c r="I129" s="1"/>
  <c r="R45" i="4"/>
  <c r="H46" i="5"/>
  <c r="R46" i="4" s="1"/>
  <c r="F120" i="17"/>
  <c r="F111" i="16"/>
  <c r="F133" i="9"/>
  <c r="G133"/>
  <c r="C133"/>
  <c r="D133"/>
  <c r="E133"/>
  <c r="H133"/>
  <c r="I133"/>
  <c r="G133" i="13"/>
  <c r="C133"/>
  <c r="H133"/>
  <c r="D133"/>
  <c r="I133"/>
  <c r="E133"/>
  <c r="F133"/>
  <c r="I133" i="16"/>
  <c r="E133"/>
  <c r="F133"/>
  <c r="H133"/>
  <c r="D133"/>
  <c r="C133"/>
  <c r="G133"/>
  <c r="H133" i="17"/>
  <c r="D133"/>
  <c r="F133"/>
  <c r="G133"/>
  <c r="C133"/>
  <c r="E133"/>
  <c r="I133"/>
  <c r="I132" i="6"/>
  <c r="E132"/>
  <c r="F132"/>
  <c r="G132"/>
  <c r="C132"/>
  <c r="H132"/>
  <c r="D132"/>
  <c r="H155" i="11"/>
  <c r="D155"/>
  <c r="I155"/>
  <c r="E155"/>
  <c r="F155"/>
  <c r="G155"/>
  <c r="C155"/>
  <c r="E120" i="17" l="1"/>
  <c r="B120" s="1"/>
  <c r="A120" s="1"/>
  <c r="E119" i="6"/>
  <c r="A119" s="1"/>
  <c r="B82" i="13"/>
  <c r="A82" s="1"/>
  <c r="F75"/>
  <c r="F98" s="1"/>
  <c r="B98" s="1"/>
  <c r="A98" s="1"/>
  <c r="H129" i="6"/>
  <c r="H130" s="1"/>
  <c r="H213" s="1"/>
  <c r="H133"/>
  <c r="H134" s="1"/>
  <c r="H135" s="1"/>
  <c r="G129"/>
  <c r="G130" s="1"/>
  <c r="G213" s="1"/>
  <c r="G133"/>
  <c r="G134" s="1"/>
  <c r="G135" s="1"/>
  <c r="E111" i="4"/>
  <c r="E111" i="9"/>
  <c r="I134" i="16"/>
  <c r="I135" s="1"/>
  <c r="I136" s="1"/>
  <c r="I130"/>
  <c r="I131" s="1"/>
  <c r="H130" i="4"/>
  <c r="H131" s="1"/>
  <c r="H134"/>
  <c r="H135" s="1"/>
  <c r="H136" s="1"/>
  <c r="I134" i="9"/>
  <c r="I135" s="1"/>
  <c r="I136" s="1"/>
  <c r="I130"/>
  <c r="I131" s="1"/>
  <c r="H134" i="17"/>
  <c r="H135" s="1"/>
  <c r="H136" s="1"/>
  <c r="H130"/>
  <c r="H131" s="1"/>
  <c r="F112" i="4"/>
  <c r="F113"/>
  <c r="G134" i="16"/>
  <c r="G135" s="1"/>
  <c r="G136" s="1"/>
  <c r="G130"/>
  <c r="G131" s="1"/>
  <c r="F112" i="17"/>
  <c r="F113"/>
  <c r="O45" i="4"/>
  <c r="B45" i="5"/>
  <c r="E46"/>
  <c r="G134" i="9"/>
  <c r="G135" s="1"/>
  <c r="G136" s="1"/>
  <c r="G130"/>
  <c r="G131" s="1"/>
  <c r="G134" i="4"/>
  <c r="G135" s="1"/>
  <c r="G136" s="1"/>
  <c r="G130"/>
  <c r="G131" s="1"/>
  <c r="I134"/>
  <c r="I135" s="1"/>
  <c r="I136" s="1"/>
  <c r="I130"/>
  <c r="I131" s="1"/>
  <c r="E111" i="17"/>
  <c r="E120" i="9"/>
  <c r="F111" i="6"/>
  <c r="F112"/>
  <c r="AB8" i="4"/>
  <c r="H171" i="6"/>
  <c r="I130" i="17"/>
  <c r="I131" s="1"/>
  <c r="I134"/>
  <c r="I135" s="1"/>
  <c r="I136" s="1"/>
  <c r="G134"/>
  <c r="G135" s="1"/>
  <c r="G136" s="1"/>
  <c r="G130"/>
  <c r="G131" s="1"/>
  <c r="F112" i="16"/>
  <c r="F113"/>
  <c r="AC8" i="4"/>
  <c r="I171" i="6"/>
  <c r="I133"/>
  <c r="I134" s="1"/>
  <c r="I135" s="1"/>
  <c r="I129"/>
  <c r="I130" s="1"/>
  <c r="I213" s="1"/>
  <c r="F112" i="9"/>
  <c r="F113"/>
  <c r="H130" i="16"/>
  <c r="H131" s="1"/>
  <c r="H134"/>
  <c r="H135" s="1"/>
  <c r="H136" s="1"/>
  <c r="G171" i="6"/>
  <c r="AA8" i="4"/>
  <c r="H130" i="9"/>
  <c r="H131" s="1"/>
  <c r="H134"/>
  <c r="H135" s="1"/>
  <c r="H136" s="1"/>
  <c r="F82" i="11"/>
  <c r="E82"/>
  <c r="E120" i="4"/>
  <c r="E111" i="16"/>
  <c r="E110" i="6"/>
  <c r="E76" i="16"/>
  <c r="E75" i="6"/>
  <c r="B133" i="13"/>
  <c r="E76" i="17"/>
  <c r="B133"/>
  <c r="B155" i="11"/>
  <c r="B133" i="16"/>
  <c r="E76" i="4"/>
  <c r="E76" i="9"/>
  <c r="B132" i="6"/>
  <c r="B133" i="9"/>
  <c r="F121" i="13" l="1"/>
  <c r="F122" s="1"/>
  <c r="F138" s="1"/>
  <c r="B119" i="6"/>
  <c r="B120" i="4"/>
  <c r="A120"/>
  <c r="G172" i="6"/>
  <c r="AA10" i="4" s="1"/>
  <c r="AA9"/>
  <c r="F100" i="6"/>
  <c r="F101" s="1"/>
  <c r="F73"/>
  <c r="F89"/>
  <c r="F90" s="1"/>
  <c r="F105"/>
  <c r="F106" s="1"/>
  <c r="F107" s="1"/>
  <c r="F116"/>
  <c r="F78"/>
  <c r="F79" s="1"/>
  <c r="F80" s="1"/>
  <c r="F81" s="1"/>
  <c r="F94"/>
  <c r="F95" s="1"/>
  <c r="F84"/>
  <c r="F88"/>
  <c r="F99"/>
  <c r="F93"/>
  <c r="F71"/>
  <c r="F72" s="1"/>
  <c r="F83"/>
  <c r="E112" i="4"/>
  <c r="E113"/>
  <c r="E112" i="16"/>
  <c r="E113"/>
  <c r="F106" i="9"/>
  <c r="F107" s="1"/>
  <c r="F108" s="1"/>
  <c r="F79"/>
  <c r="F80" s="1"/>
  <c r="F81" s="1"/>
  <c r="F82" s="1"/>
  <c r="F95"/>
  <c r="F96" s="1"/>
  <c r="F90"/>
  <c r="F91" s="1"/>
  <c r="F101"/>
  <c r="F102" s="1"/>
  <c r="F74"/>
  <c r="F117"/>
  <c r="F85"/>
  <c r="F86" s="1"/>
  <c r="F89"/>
  <c r="F72"/>
  <c r="F73" s="1"/>
  <c r="F84"/>
  <c r="F94"/>
  <c r="F100"/>
  <c r="I172" i="6"/>
  <c r="AC10" i="4" s="1"/>
  <c r="AC9"/>
  <c r="E112" i="17"/>
  <c r="E113"/>
  <c r="A45" i="5"/>
  <c r="K45" i="4" s="1"/>
  <c r="L45"/>
  <c r="E112" i="9"/>
  <c r="E113"/>
  <c r="AB9" i="4"/>
  <c r="H172" i="6"/>
  <c r="AB10" i="4" s="1"/>
  <c r="B120" i="9"/>
  <c r="A120"/>
  <c r="O46" i="4"/>
  <c r="B46" i="5"/>
  <c r="E111" i="6"/>
  <c r="E112"/>
  <c r="F90" i="16"/>
  <c r="F91" s="1"/>
  <c r="F74"/>
  <c r="F79"/>
  <c r="F80" s="1"/>
  <c r="F81" s="1"/>
  <c r="F82" s="1"/>
  <c r="F85"/>
  <c r="F86" s="1"/>
  <c r="F101"/>
  <c r="F102" s="1"/>
  <c r="F95"/>
  <c r="F96" s="1"/>
  <c r="F106"/>
  <c r="F107" s="1"/>
  <c r="F108" s="1"/>
  <c r="F117"/>
  <c r="F89"/>
  <c r="F72"/>
  <c r="F73" s="1"/>
  <c r="F94"/>
  <c r="F100"/>
  <c r="F84"/>
  <c r="F95" i="17"/>
  <c r="F96" s="1"/>
  <c r="F106"/>
  <c r="F107" s="1"/>
  <c r="F108" s="1"/>
  <c r="F101"/>
  <c r="F102" s="1"/>
  <c r="F79"/>
  <c r="F80" s="1"/>
  <c r="F81" s="1"/>
  <c r="F82" s="1"/>
  <c r="F117"/>
  <c r="F90"/>
  <c r="F91" s="1"/>
  <c r="F85"/>
  <c r="F86" s="1"/>
  <c r="F74"/>
  <c r="F84"/>
  <c r="F89"/>
  <c r="F94"/>
  <c r="F72"/>
  <c r="F73" s="1"/>
  <c r="F100"/>
  <c r="F79" i="4"/>
  <c r="F80" s="1"/>
  <c r="F81" s="1"/>
  <c r="F82" s="1"/>
  <c r="F117"/>
  <c r="F74"/>
  <c r="F90"/>
  <c r="F91" s="1"/>
  <c r="F101"/>
  <c r="F102" s="1"/>
  <c r="F106"/>
  <c r="F107" s="1"/>
  <c r="F108" s="1"/>
  <c r="F85"/>
  <c r="F95"/>
  <c r="F96" s="1"/>
  <c r="F94"/>
  <c r="F72"/>
  <c r="F73" s="1"/>
  <c r="F89"/>
  <c r="F84"/>
  <c r="F100"/>
  <c r="B76" i="16"/>
  <c r="A76" s="1"/>
  <c r="B76" i="9"/>
  <c r="A76" s="1"/>
  <c r="B76" i="17"/>
  <c r="A76" s="1"/>
  <c r="B76" i="4"/>
  <c r="A76" s="1"/>
  <c r="B75" i="6"/>
  <c r="A75" s="1"/>
  <c r="F128" i="13" l="1"/>
  <c r="F129" s="1"/>
  <c r="F130" s="1"/>
  <c r="F131" s="1"/>
  <c r="F74" i="6"/>
  <c r="F97" s="1"/>
  <c r="E95" i="16"/>
  <c r="E96" s="1"/>
  <c r="E117"/>
  <c r="B117" s="1"/>
  <c r="A117" s="1"/>
  <c r="E100"/>
  <c r="E101"/>
  <c r="E102" s="1"/>
  <c r="E79"/>
  <c r="E80" s="1"/>
  <c r="E81" s="1"/>
  <c r="E82" s="1"/>
  <c r="E94"/>
  <c r="E90"/>
  <c r="E91" s="1"/>
  <c r="E92" s="1"/>
  <c r="B92" s="1"/>
  <c r="A92" s="1"/>
  <c r="E85"/>
  <c r="E86" s="1"/>
  <c r="E87" s="1"/>
  <c r="B87" s="1"/>
  <c r="A87" s="1"/>
  <c r="E84"/>
  <c r="E72"/>
  <c r="E73" s="1"/>
  <c r="E106"/>
  <c r="E107" s="1"/>
  <c r="E108" s="1"/>
  <c r="B108" s="1"/>
  <c r="A108" s="1"/>
  <c r="E74"/>
  <c r="B113"/>
  <c r="A113" s="1"/>
  <c r="E89"/>
  <c r="E101" i="9"/>
  <c r="E102" s="1"/>
  <c r="E85"/>
  <c r="E86" s="1"/>
  <c r="E87" s="1"/>
  <c r="B87" s="1"/>
  <c r="A87" s="1"/>
  <c r="B113"/>
  <c r="A113" s="1"/>
  <c r="E89"/>
  <c r="E100"/>
  <c r="E106"/>
  <c r="E107" s="1"/>
  <c r="E108" s="1"/>
  <c r="B108" s="1"/>
  <c r="A108" s="1"/>
  <c r="E90"/>
  <c r="E91" s="1"/>
  <c r="E92" s="1"/>
  <c r="B92" s="1"/>
  <c r="A92" s="1"/>
  <c r="E74"/>
  <c r="E94"/>
  <c r="E95"/>
  <c r="E96" s="1"/>
  <c r="E79"/>
  <c r="E80" s="1"/>
  <c r="E81" s="1"/>
  <c r="E82" s="1"/>
  <c r="E84"/>
  <c r="E72"/>
  <c r="E73" s="1"/>
  <c r="E117"/>
  <c r="B117" s="1"/>
  <c r="A117" s="1"/>
  <c r="E74" i="17"/>
  <c r="E85"/>
  <c r="E86" s="1"/>
  <c r="E87" s="1"/>
  <c r="B87" s="1"/>
  <c r="A87" s="1"/>
  <c r="E94"/>
  <c r="E84"/>
  <c r="B113"/>
  <c r="A113" s="1"/>
  <c r="E95"/>
  <c r="E96" s="1"/>
  <c r="E101"/>
  <c r="E102" s="1"/>
  <c r="E117"/>
  <c r="B117" s="1"/>
  <c r="A117" s="1"/>
  <c r="E89"/>
  <c r="E90"/>
  <c r="E91" s="1"/>
  <c r="E92" s="1"/>
  <c r="B92" s="1"/>
  <c r="A92" s="1"/>
  <c r="E79"/>
  <c r="E80" s="1"/>
  <c r="E81" s="1"/>
  <c r="E82" s="1"/>
  <c r="E100"/>
  <c r="E106"/>
  <c r="E107" s="1"/>
  <c r="E108" s="1"/>
  <c r="B108" s="1"/>
  <c r="A108" s="1"/>
  <c r="E72"/>
  <c r="E73" s="1"/>
  <c r="F120" i="6"/>
  <c r="F121" s="1"/>
  <c r="E106" i="4"/>
  <c r="E107" s="1"/>
  <c r="E108" s="1"/>
  <c r="B108" s="1"/>
  <c r="A108" s="1"/>
  <c r="E117"/>
  <c r="B117" s="1"/>
  <c r="A117" s="1"/>
  <c r="E94"/>
  <c r="E72"/>
  <c r="E73" s="1"/>
  <c r="E95"/>
  <c r="E96" s="1"/>
  <c r="E79"/>
  <c r="E80" s="1"/>
  <c r="E81" s="1"/>
  <c r="E82" s="1"/>
  <c r="B82" s="1"/>
  <c r="A82" s="1"/>
  <c r="E101"/>
  <c r="E102" s="1"/>
  <c r="E85"/>
  <c r="E89"/>
  <c r="E100"/>
  <c r="E90"/>
  <c r="E91" s="1"/>
  <c r="E92" s="1"/>
  <c r="E74"/>
  <c r="E75" s="1"/>
  <c r="E98" s="1"/>
  <c r="B113"/>
  <c r="A113" s="1"/>
  <c r="E84"/>
  <c r="F75"/>
  <c r="F98" s="1"/>
  <c r="F121" s="1"/>
  <c r="F122" s="1"/>
  <c r="F75" i="17"/>
  <c r="F98" s="1"/>
  <c r="F121" s="1"/>
  <c r="F122" s="1"/>
  <c r="F75" i="9"/>
  <c r="F98" s="1"/>
  <c r="F121" s="1"/>
  <c r="F122" s="1"/>
  <c r="E94" i="6"/>
  <c r="E95" s="1"/>
  <c r="E84"/>
  <c r="E83"/>
  <c r="E73"/>
  <c r="E71"/>
  <c r="E72" s="1"/>
  <c r="E100"/>
  <c r="E101" s="1"/>
  <c r="E89"/>
  <c r="E90" s="1"/>
  <c r="E91" s="1"/>
  <c r="B91" s="1"/>
  <c r="A91" s="1"/>
  <c r="E78"/>
  <c r="E79" s="1"/>
  <c r="E80" s="1"/>
  <c r="E81" s="1"/>
  <c r="B81" s="1"/>
  <c r="A81" s="1"/>
  <c r="B112"/>
  <c r="A112" s="1"/>
  <c r="E99"/>
  <c r="E105"/>
  <c r="E106" s="1"/>
  <c r="E107" s="1"/>
  <c r="B107" s="1"/>
  <c r="A107" s="1"/>
  <c r="E116"/>
  <c r="B116" s="1"/>
  <c r="A116" s="1"/>
  <c r="E93"/>
  <c r="E88"/>
  <c r="L46" i="4"/>
  <c r="B51" i="5"/>
  <c r="F75" i="16"/>
  <c r="F98" s="1"/>
  <c r="F121" s="1"/>
  <c r="F122" s="1"/>
  <c r="F134" i="13" l="1"/>
  <c r="F135" s="1"/>
  <c r="F136" s="1"/>
  <c r="B98" i="4"/>
  <c r="A98" s="1"/>
  <c r="B82" i="9"/>
  <c r="A82" s="1"/>
  <c r="B82" i="16"/>
  <c r="A82" s="1"/>
  <c r="E75" i="17"/>
  <c r="E98" s="1"/>
  <c r="B98" s="1"/>
  <c r="A98" s="1"/>
  <c r="F128" i="16"/>
  <c r="F129" s="1"/>
  <c r="F138"/>
  <c r="G137" i="2"/>
  <c r="G138" s="1"/>
  <c r="G139" s="1"/>
  <c r="G141" s="1"/>
  <c r="G150"/>
  <c r="F138" i="4"/>
  <c r="F128"/>
  <c r="F129" s="1"/>
  <c r="F144" i="2"/>
  <c r="C144" s="1"/>
  <c r="A144" s="1"/>
  <c r="B92" i="4"/>
  <c r="A92" s="1"/>
  <c r="E75" i="9"/>
  <c r="E98" s="1"/>
  <c r="B98" s="1"/>
  <c r="A98" s="1"/>
  <c r="F138" i="17"/>
  <c r="F128"/>
  <c r="F129" s="1"/>
  <c r="F137" i="6"/>
  <c r="F127"/>
  <c r="F128" s="1"/>
  <c r="F170"/>
  <c r="B82" i="17"/>
  <c r="A82" s="1"/>
  <c r="E121"/>
  <c r="B52" i="5"/>
  <c r="L51" i="4"/>
  <c r="F128" i="9"/>
  <c r="F129" s="1"/>
  <c r="F138"/>
  <c r="E74" i="6"/>
  <c r="E97" s="1"/>
  <c r="B97" s="1"/>
  <c r="A97" s="1"/>
  <c r="E75" i="16"/>
  <c r="E98" s="1"/>
  <c r="B98" s="1"/>
  <c r="A98" s="1"/>
  <c r="E122" i="17" l="1"/>
  <c r="B121"/>
  <c r="H74" i="5"/>
  <c r="H76" s="1"/>
  <c r="D78" s="1"/>
  <c r="D79" s="1"/>
  <c r="D80" s="1"/>
  <c r="D81" s="1"/>
  <c r="D82" s="1"/>
  <c r="L52" i="4"/>
  <c r="F129" i="6"/>
  <c r="F130" s="1"/>
  <c r="F213" s="1"/>
  <c r="F133"/>
  <c r="F134" s="1"/>
  <c r="F135" s="1"/>
  <c r="F134" i="16"/>
  <c r="F135" s="1"/>
  <c r="F136" s="1"/>
  <c r="F130"/>
  <c r="F131" s="1"/>
  <c r="E121" i="9"/>
  <c r="Z8" i="4"/>
  <c r="F171" i="6"/>
  <c r="F134" i="4"/>
  <c r="F135" s="1"/>
  <c r="F136" s="1"/>
  <c r="F130"/>
  <c r="F131" s="1"/>
  <c r="F130" i="9"/>
  <c r="F131" s="1"/>
  <c r="F134"/>
  <c r="F135" s="1"/>
  <c r="F136" s="1"/>
  <c r="F130" i="17"/>
  <c r="F131" s="1"/>
  <c r="F134"/>
  <c r="F135" s="1"/>
  <c r="F136" s="1"/>
  <c r="E121" i="16"/>
  <c r="E122" i="9" l="1"/>
  <c r="B121"/>
  <c r="E138" i="17"/>
  <c r="B122"/>
  <c r="E128"/>
  <c r="E122" i="16"/>
  <c r="B121"/>
  <c r="F172" i="6"/>
  <c r="Z10" i="4" s="1"/>
  <c r="Z9"/>
  <c r="B56" i="5"/>
  <c r="B58"/>
  <c r="C238" i="3" s="1"/>
  <c r="E129" i="17" l="1"/>
  <c r="B128"/>
  <c r="A128" s="1"/>
  <c r="E128" i="9"/>
  <c r="B122"/>
  <c r="E138"/>
  <c r="B122" i="16"/>
  <c r="E138"/>
  <c r="E128"/>
  <c r="L56" i="4"/>
  <c r="B238" i="3"/>
  <c r="B163" i="2" s="1"/>
  <c r="E134" i="17" l="1"/>
  <c r="E135" s="1"/>
  <c r="E136" s="1"/>
  <c r="C137" s="1"/>
  <c r="E130"/>
  <c r="E131" s="1"/>
  <c r="E129" i="9"/>
  <c r="B128"/>
  <c r="A128" s="1"/>
  <c r="E129" i="16"/>
  <c r="B128"/>
  <c r="A128" s="1"/>
  <c r="E130" l="1"/>
  <c r="E131" s="1"/>
  <c r="E134"/>
  <c r="E135" s="1"/>
  <c r="E136" s="1"/>
  <c r="C137" s="1"/>
  <c r="C138" i="17"/>
  <c r="C139" s="1"/>
  <c r="C140" s="1"/>
  <c r="C141" s="1"/>
  <c r="D145" s="1"/>
  <c r="A137"/>
  <c r="C145"/>
  <c r="B131"/>
  <c r="E130" i="9"/>
  <c r="E131" s="1"/>
  <c r="E134"/>
  <c r="E135" s="1"/>
  <c r="E136" s="1"/>
  <c r="C137" s="1"/>
  <c r="C145" i="16" l="1"/>
  <c r="B131"/>
  <c r="C138"/>
  <c r="C139" s="1"/>
  <c r="C140" s="1"/>
  <c r="C141" s="1"/>
  <c r="D145" s="1"/>
  <c r="A137"/>
  <c r="B145" i="17"/>
  <c r="A145" s="1"/>
  <c r="C145" i="9"/>
  <c r="B131"/>
  <c r="D146" i="17"/>
  <c r="C142"/>
  <c r="C143" s="1"/>
  <c r="C144" s="1"/>
  <c r="C146" s="1"/>
  <c r="B141"/>
  <c r="C138" i="9"/>
  <c r="C139" s="1"/>
  <c r="C140" s="1"/>
  <c r="C141" s="1"/>
  <c r="D145" s="1"/>
  <c r="A137"/>
  <c r="B145" i="16" l="1"/>
  <c r="A145" s="1"/>
  <c r="B145" i="9"/>
  <c r="A145" s="1"/>
  <c r="C142"/>
  <c r="C143" s="1"/>
  <c r="C144" s="1"/>
  <c r="C146" s="1"/>
  <c r="B141"/>
  <c r="D146"/>
  <c r="D146" i="16"/>
  <c r="B141"/>
  <c r="C142"/>
  <c r="C143" s="1"/>
  <c r="C144" s="1"/>
  <c r="C146" s="1"/>
  <c r="B146" i="17"/>
  <c r="B146" i="9" l="1"/>
  <c r="E147" s="1"/>
  <c r="B146" i="16"/>
  <c r="C147" s="1"/>
  <c r="C147" i="17"/>
  <c r="D147"/>
  <c r="H147"/>
  <c r="E147"/>
  <c r="F147"/>
  <c r="G147"/>
  <c r="I147"/>
  <c r="E172" i="9"/>
  <c r="E171"/>
  <c r="E174" s="1"/>
  <c r="C147" l="1"/>
  <c r="G147"/>
  <c r="D147"/>
  <c r="H147"/>
  <c r="F147"/>
  <c r="F147" i="16"/>
  <c r="H147"/>
  <c r="D147"/>
  <c r="C148" i="17"/>
  <c r="B147"/>
  <c r="E148" s="1"/>
  <c r="E147" i="16"/>
  <c r="D148" i="17"/>
  <c r="I147" i="16"/>
  <c r="G147"/>
  <c r="I147" i="9"/>
  <c r="E172" i="17"/>
  <c r="E171"/>
  <c r="E172" i="16"/>
  <c r="E171"/>
  <c r="E174" s="1"/>
  <c r="E178" i="9"/>
  <c r="E181" s="1"/>
  <c r="E182" s="1"/>
  <c r="E176"/>
  <c r="D149" i="17" l="1"/>
  <c r="D157" s="1"/>
  <c r="D158" s="1"/>
  <c r="D170" s="1"/>
  <c r="D171"/>
  <c r="D174" s="1"/>
  <c r="D172"/>
  <c r="D148" i="9"/>
  <c r="D172" s="1"/>
  <c r="H148" i="17"/>
  <c r="H149" s="1"/>
  <c r="D148" i="16"/>
  <c r="D172" s="1"/>
  <c r="C148" i="9"/>
  <c r="C171" s="1"/>
  <c r="E149" i="17"/>
  <c r="E155" s="1"/>
  <c r="C149"/>
  <c r="C171"/>
  <c r="C172"/>
  <c r="C174" s="1"/>
  <c r="C148" i="16"/>
  <c r="F148" i="17"/>
  <c r="F149" s="1"/>
  <c r="I148"/>
  <c r="I149" s="1"/>
  <c r="G148"/>
  <c r="G149" s="1"/>
  <c r="B147" i="16"/>
  <c r="B147" i="9"/>
  <c r="E178" i="16"/>
  <c r="E181" s="1"/>
  <c r="E182" s="1"/>
  <c r="E176"/>
  <c r="E174" i="17"/>
  <c r="D173" l="1"/>
  <c r="D177" s="1"/>
  <c r="D180" s="1"/>
  <c r="D183" s="1"/>
  <c r="B171"/>
  <c r="D155"/>
  <c r="D149" i="16"/>
  <c r="D155" s="1"/>
  <c r="D171"/>
  <c r="D174" s="1"/>
  <c r="D176" i="17"/>
  <c r="D178"/>
  <c r="D181" s="1"/>
  <c r="D182" s="1"/>
  <c r="D149" i="9"/>
  <c r="D171"/>
  <c r="D174" s="1"/>
  <c r="C172"/>
  <c r="C174" s="1"/>
  <c r="C178" s="1"/>
  <c r="C181" s="1"/>
  <c r="C182" s="1"/>
  <c r="D160" i="17"/>
  <c r="D161" s="1"/>
  <c r="C149" i="9"/>
  <c r="C157" s="1"/>
  <c r="C158" s="1"/>
  <c r="E157" i="17"/>
  <c r="E158" s="1"/>
  <c r="E160" s="1"/>
  <c r="H157"/>
  <c r="H155"/>
  <c r="I148" i="16"/>
  <c r="I149" s="1"/>
  <c r="H148"/>
  <c r="H149" s="1"/>
  <c r="F148"/>
  <c r="F149" s="1"/>
  <c r="G148"/>
  <c r="G149" s="1"/>
  <c r="E148"/>
  <c r="E149" s="1"/>
  <c r="C149"/>
  <c r="C171"/>
  <c r="C172"/>
  <c r="C174" s="1"/>
  <c r="C157" i="17"/>
  <c r="C158" s="1"/>
  <c r="C170" s="1"/>
  <c r="C173" s="1"/>
  <c r="C177" s="1"/>
  <c r="C180" s="1"/>
  <c r="C155"/>
  <c r="D152"/>
  <c r="D154" s="1"/>
  <c r="E148" i="9"/>
  <c r="G148"/>
  <c r="G149" s="1"/>
  <c r="F148"/>
  <c r="F149" s="1"/>
  <c r="H148"/>
  <c r="H149" s="1"/>
  <c r="I148"/>
  <c r="I149" s="1"/>
  <c r="F155" i="17"/>
  <c r="F157"/>
  <c r="B149"/>
  <c r="D151" s="1"/>
  <c r="B148"/>
  <c r="C155" i="9"/>
  <c r="I155" i="17"/>
  <c r="I157"/>
  <c r="I158" s="1"/>
  <c r="I170" s="1"/>
  <c r="I173" s="1"/>
  <c r="C178"/>
  <c r="C181" s="1"/>
  <c r="C182" s="1"/>
  <c r="C176"/>
  <c r="G157"/>
  <c r="G155"/>
  <c r="D157" i="9"/>
  <c r="D158" s="1"/>
  <c r="D155"/>
  <c r="D175" i="17"/>
  <c r="E176"/>
  <c r="E178"/>
  <c r="E181" s="1"/>
  <c r="E182" s="1"/>
  <c r="C176" i="9" l="1"/>
  <c r="D164" i="16"/>
  <c r="B171"/>
  <c r="B171" i="9"/>
  <c r="D178" i="16"/>
  <c r="D181" s="1"/>
  <c r="D182" s="1"/>
  <c r="D176"/>
  <c r="D178" i="9"/>
  <c r="D181" s="1"/>
  <c r="D182" s="1"/>
  <c r="D176"/>
  <c r="D157" i="16"/>
  <c r="D158" s="1"/>
  <c r="D170" s="1"/>
  <c r="D173" s="1"/>
  <c r="D175" s="1"/>
  <c r="C175" i="17"/>
  <c r="I160"/>
  <c r="I161" s="1"/>
  <c r="C151"/>
  <c r="B151" s="1"/>
  <c r="A151" s="1"/>
  <c r="C160" i="9"/>
  <c r="C161" s="1"/>
  <c r="B155" i="17"/>
  <c r="A155" s="1"/>
  <c r="E170"/>
  <c r="E173" s="1"/>
  <c r="C160"/>
  <c r="C161" s="1"/>
  <c r="E152"/>
  <c r="E154" s="1"/>
  <c r="H158"/>
  <c r="H170" s="1"/>
  <c r="H173" s="1"/>
  <c r="H152"/>
  <c r="H154" s="1"/>
  <c r="C152" i="9"/>
  <c r="C154" s="1"/>
  <c r="D160" i="16"/>
  <c r="D161" s="1"/>
  <c r="C152" i="17"/>
  <c r="C154" s="1"/>
  <c r="I157" i="9"/>
  <c r="I158" s="1"/>
  <c r="I155"/>
  <c r="E149"/>
  <c r="B148"/>
  <c r="C178" i="16"/>
  <c r="C181" s="1"/>
  <c r="C182" s="1"/>
  <c r="C176"/>
  <c r="G164"/>
  <c r="G157"/>
  <c r="G158" s="1"/>
  <c r="G170" s="1"/>
  <c r="G173" s="1"/>
  <c r="G155"/>
  <c r="I175" i="17"/>
  <c r="I177"/>
  <c r="I180" s="1"/>
  <c r="I183" s="1"/>
  <c r="G157" i="9"/>
  <c r="G158" s="1"/>
  <c r="G155"/>
  <c r="B149" i="16"/>
  <c r="E157"/>
  <c r="E155"/>
  <c r="E164"/>
  <c r="I157"/>
  <c r="I158" s="1"/>
  <c r="I170" s="1"/>
  <c r="I173" s="1"/>
  <c r="I155"/>
  <c r="I164"/>
  <c r="B148"/>
  <c r="D160" i="9"/>
  <c r="D170"/>
  <c r="D173" s="1"/>
  <c r="G158" i="17"/>
  <c r="G170" s="1"/>
  <c r="G173" s="1"/>
  <c r="G152"/>
  <c r="G154" s="1"/>
  <c r="C170" i="9"/>
  <c r="F158" i="17"/>
  <c r="F152"/>
  <c r="F154" s="1"/>
  <c r="F155" i="9"/>
  <c r="F157"/>
  <c r="F158" s="1"/>
  <c r="C157" i="16"/>
  <c r="C158" s="1"/>
  <c r="C164"/>
  <c r="C155"/>
  <c r="H155"/>
  <c r="H157"/>
  <c r="H158" s="1"/>
  <c r="H170" s="1"/>
  <c r="H173" s="1"/>
  <c r="H164"/>
  <c r="I152" i="17"/>
  <c r="I154" s="1"/>
  <c r="H155" i="9"/>
  <c r="H157"/>
  <c r="H158" s="1"/>
  <c r="F155" i="16"/>
  <c r="F157"/>
  <c r="F158" s="1"/>
  <c r="F170" s="1"/>
  <c r="F173" s="1"/>
  <c r="F164"/>
  <c r="D152" i="9"/>
  <c r="D154" s="1"/>
  <c r="E161" i="17"/>
  <c r="C183"/>
  <c r="D177" i="16" l="1"/>
  <c r="D180" s="1"/>
  <c r="D183" s="1"/>
  <c r="D152"/>
  <c r="D154" s="1"/>
  <c r="F160"/>
  <c r="F161" s="1"/>
  <c r="F170" i="9"/>
  <c r="F173" s="1"/>
  <c r="F177" s="1"/>
  <c r="F180" s="1"/>
  <c r="F183" s="1"/>
  <c r="H160"/>
  <c r="H161" s="1"/>
  <c r="G160" i="17"/>
  <c r="G161" s="1"/>
  <c r="G170" i="9"/>
  <c r="G173" s="1"/>
  <c r="G175" s="1"/>
  <c r="C160" i="16"/>
  <c r="C161" s="1"/>
  <c r="H160" i="17"/>
  <c r="H161" s="1"/>
  <c r="H152" i="9"/>
  <c r="H154" s="1"/>
  <c r="H177" i="17"/>
  <c r="H180" s="1"/>
  <c r="H183" s="1"/>
  <c r="H175"/>
  <c r="I160" i="16"/>
  <c r="I161" s="1"/>
  <c r="F152" i="9"/>
  <c r="F154" s="1"/>
  <c r="G160" i="16"/>
  <c r="G161" s="1"/>
  <c r="I160" i="9"/>
  <c r="I161" s="1"/>
  <c r="I152" i="16"/>
  <c r="I154" s="1"/>
  <c r="G152"/>
  <c r="G154" s="1"/>
  <c r="F177"/>
  <c r="F180" s="1"/>
  <c r="F183" s="1"/>
  <c r="F175"/>
  <c r="C170"/>
  <c r="D161" i="9"/>
  <c r="H160" i="16"/>
  <c r="H161" s="1"/>
  <c r="G160" i="9"/>
  <c r="G161" s="1"/>
  <c r="I152"/>
  <c r="I154" s="1"/>
  <c r="C173"/>
  <c r="D175"/>
  <c r="D177"/>
  <c r="D180" s="1"/>
  <c r="D183" s="1"/>
  <c r="I175" i="16"/>
  <c r="I177"/>
  <c r="I180" s="1"/>
  <c r="I183" s="1"/>
  <c r="D151"/>
  <c r="C151"/>
  <c r="H152"/>
  <c r="H154" s="1"/>
  <c r="H175"/>
  <c r="H177"/>
  <c r="H180" s="1"/>
  <c r="H183" s="1"/>
  <c r="F170" i="17"/>
  <c r="B158"/>
  <c r="A158" s="1"/>
  <c r="G177"/>
  <c r="G180" s="1"/>
  <c r="G183" s="1"/>
  <c r="G175"/>
  <c r="E158" i="16"/>
  <c r="E170" s="1"/>
  <c r="E173" s="1"/>
  <c r="E152"/>
  <c r="E154" s="1"/>
  <c r="E155" i="9"/>
  <c r="E157"/>
  <c r="E158" s="1"/>
  <c r="B158" s="1"/>
  <c r="A158" s="1"/>
  <c r="B149"/>
  <c r="F160" i="17"/>
  <c r="B155" i="16"/>
  <c r="A155" s="1"/>
  <c r="G177"/>
  <c r="G180" s="1"/>
  <c r="G183" s="1"/>
  <c r="G175"/>
  <c r="F152"/>
  <c r="F154" s="1"/>
  <c r="H170" i="9"/>
  <c r="H173" s="1"/>
  <c r="C152" i="16"/>
  <c r="C154" s="1"/>
  <c r="F160" i="9"/>
  <c r="F161" s="1"/>
  <c r="G152"/>
  <c r="G154" s="1"/>
  <c r="I170"/>
  <c r="I173" s="1"/>
  <c r="E177" i="17"/>
  <c r="E180" s="1"/>
  <c r="E175"/>
  <c r="F175" i="9" l="1"/>
  <c r="E160"/>
  <c r="E161" s="1"/>
  <c r="G177"/>
  <c r="G180" s="1"/>
  <c r="G183" s="1"/>
  <c r="E152"/>
  <c r="E154" s="1"/>
  <c r="E160" i="16"/>
  <c r="E161" s="1"/>
  <c r="B161" s="1"/>
  <c r="B151"/>
  <c r="A151" s="1"/>
  <c r="I175" i="9"/>
  <c r="I177"/>
  <c r="I180" s="1"/>
  <c r="I183" s="1"/>
  <c r="H175"/>
  <c r="H177"/>
  <c r="H180" s="1"/>
  <c r="H183" s="1"/>
  <c r="G35" i="21"/>
  <c r="G36" s="1"/>
  <c r="G37" s="1"/>
  <c r="G38" s="1"/>
  <c r="D41"/>
  <c r="D43" s="1"/>
  <c r="E40" i="8"/>
  <c r="E41"/>
  <c r="AI41" i="4" s="1"/>
  <c r="G51" i="8"/>
  <c r="G40"/>
  <c r="C33"/>
  <c r="AG33" i="4" s="1"/>
  <c r="C41" i="8"/>
  <c r="AG41" i="4" s="1"/>
  <c r="D33" i="8"/>
  <c r="AH33" i="4" s="1"/>
  <c r="D52" i="21"/>
  <c r="D58" s="1"/>
  <c r="D59" s="1"/>
  <c r="E41"/>
  <c r="E43" s="1"/>
  <c r="C41"/>
  <c r="C43" s="1"/>
  <c r="D51" i="8"/>
  <c r="D57" s="1"/>
  <c r="F41" i="21"/>
  <c r="F43" s="1"/>
  <c r="D33"/>
  <c r="D151" i="9"/>
  <c r="D35" i="21"/>
  <c r="D36" s="1"/>
  <c r="D37" s="1"/>
  <c r="D38" s="1"/>
  <c r="D41" i="8"/>
  <c r="AH41" i="4" s="1"/>
  <c r="E48" i="8"/>
  <c r="F41"/>
  <c r="AJ41" i="4" s="1"/>
  <c r="G33" i="8"/>
  <c r="AK33" i="4" s="1"/>
  <c r="G32" i="8"/>
  <c r="AK32" i="4" s="1"/>
  <c r="F35" i="21"/>
  <c r="F36" s="1"/>
  <c r="F37" s="1"/>
  <c r="F38" s="1"/>
  <c r="F33" i="8"/>
  <c r="AJ33" i="4" s="1"/>
  <c r="C34" i="8"/>
  <c r="F52" i="21"/>
  <c r="F58" s="1"/>
  <c r="F59" s="1"/>
  <c r="E35"/>
  <c r="E36" s="1"/>
  <c r="E37" s="1"/>
  <c r="E38" s="1"/>
  <c r="D48" i="8"/>
  <c r="E33"/>
  <c r="AI33" i="4" s="1"/>
  <c r="E34" i="8"/>
  <c r="F48"/>
  <c r="F34"/>
  <c r="C48"/>
  <c r="G34"/>
  <c r="D32"/>
  <c r="AH32" i="4" s="1"/>
  <c r="F49" i="21"/>
  <c r="G52"/>
  <c r="G58" s="1"/>
  <c r="G59" s="1"/>
  <c r="F33"/>
  <c r="F51" i="8"/>
  <c r="F57" s="1"/>
  <c r="G49" i="21"/>
  <c r="G33"/>
  <c r="G41" i="8"/>
  <c r="AK41" i="4" s="1"/>
  <c r="C49" i="21"/>
  <c r="E52"/>
  <c r="E58" s="1"/>
  <c r="E59" s="1"/>
  <c r="E33"/>
  <c r="C35"/>
  <c r="C36" s="1"/>
  <c r="E51" i="8"/>
  <c r="D34"/>
  <c r="F40"/>
  <c r="C51"/>
  <c r="C57" s="1"/>
  <c r="C40"/>
  <c r="G48"/>
  <c r="D40"/>
  <c r="F32"/>
  <c r="AJ32" i="4" s="1"/>
  <c r="D49" i="21"/>
  <c r="C33"/>
  <c r="C32" i="8"/>
  <c r="E32"/>
  <c r="AI32" i="4" s="1"/>
  <c r="C52" i="21"/>
  <c r="C58" s="1"/>
  <c r="C151" i="9"/>
  <c r="B151" s="1"/>
  <c r="A151" s="1"/>
  <c r="E49" i="21"/>
  <c r="G41"/>
  <c r="G43" s="1"/>
  <c r="E170" i="9"/>
  <c r="B155"/>
  <c r="A155" s="1"/>
  <c r="E175" i="16"/>
  <c r="E177"/>
  <c r="E180" s="1"/>
  <c r="E183" s="1"/>
  <c r="F173" i="17"/>
  <c r="B170"/>
  <c r="C173" i="16"/>
  <c r="B170"/>
  <c r="B161" i="9"/>
  <c r="F161" i="17"/>
  <c r="B161" s="1"/>
  <c r="B160"/>
  <c r="C177" i="9"/>
  <c r="C180" s="1"/>
  <c r="C175"/>
  <c r="B158" i="16"/>
  <c r="A158" s="1"/>
  <c r="E183" i="17"/>
  <c r="E199" i="6"/>
  <c r="D199" s="1"/>
  <c r="B183" s="1"/>
  <c r="V21" i="4" s="1"/>
  <c r="B160" i="9" l="1"/>
  <c r="D60" i="21"/>
  <c r="B33"/>
  <c r="A33" s="1"/>
  <c r="B160" i="16"/>
  <c r="F60" i="21"/>
  <c r="B52"/>
  <c r="A52" s="1"/>
  <c r="E60"/>
  <c r="F175" i="17"/>
  <c r="B175" s="1"/>
  <c r="F177"/>
  <c r="F180" s="1"/>
  <c r="E173" i="9"/>
  <c r="B170"/>
  <c r="B58" i="21"/>
  <c r="C59"/>
  <c r="B59" s="1"/>
  <c r="A59" s="1"/>
  <c r="AG40" i="4"/>
  <c r="C42" i="8"/>
  <c r="E57"/>
  <c r="E82" i="6" s="1"/>
  <c r="AI51" i="4"/>
  <c r="B49" i="21"/>
  <c r="A49" s="1"/>
  <c r="AJ51" i="4"/>
  <c r="F83" i="13"/>
  <c r="F82" i="6"/>
  <c r="F86" i="13"/>
  <c r="F86" i="4"/>
  <c r="F85" i="6"/>
  <c r="AJ48" i="4"/>
  <c r="AI48"/>
  <c r="AI40"/>
  <c r="E42" i="8"/>
  <c r="AI42" i="4" s="1"/>
  <c r="H59" i="11"/>
  <c r="G59"/>
  <c r="C73"/>
  <c r="D73"/>
  <c r="I73"/>
  <c r="E59"/>
  <c r="F59"/>
  <c r="E73"/>
  <c r="I59"/>
  <c r="C59"/>
  <c r="H73"/>
  <c r="D59"/>
  <c r="F73"/>
  <c r="G73"/>
  <c r="D58" i="8"/>
  <c r="AH58" i="4" s="1"/>
  <c r="AH57"/>
  <c r="AK48"/>
  <c r="AH34"/>
  <c r="D35" i="8"/>
  <c r="AH35" i="4" s="1"/>
  <c r="AJ34"/>
  <c r="F35" i="8"/>
  <c r="AJ35" i="4" s="1"/>
  <c r="AH48"/>
  <c r="G60" i="21"/>
  <c r="B43"/>
  <c r="C175" i="16"/>
  <c r="B175" s="1"/>
  <c r="C177"/>
  <c r="C180" s="1"/>
  <c r="C83" i="4"/>
  <c r="C58" i="8"/>
  <c r="AG57" i="4"/>
  <c r="B32" i="8"/>
  <c r="AG32" i="4"/>
  <c r="AH40"/>
  <c r="D42" i="8"/>
  <c r="AH42" i="4" s="1"/>
  <c r="AJ40"/>
  <c r="F42" i="8"/>
  <c r="AJ42" i="4" s="1"/>
  <c r="AG48"/>
  <c r="B48" i="8"/>
  <c r="C35"/>
  <c r="AG34" i="4"/>
  <c r="AH51"/>
  <c r="D82" i="6"/>
  <c r="D86" i="13"/>
  <c r="D86" i="4"/>
  <c r="D83"/>
  <c r="D85" i="6"/>
  <c r="D83" i="13"/>
  <c r="G57" i="8"/>
  <c r="G85" i="6" s="1"/>
  <c r="AK51" i="4"/>
  <c r="C183" i="9"/>
  <c r="F83" i="4"/>
  <c r="AJ57"/>
  <c r="F58" i="8"/>
  <c r="AJ58" i="4" s="1"/>
  <c r="AG51"/>
  <c r="B51" i="8"/>
  <c r="C82" i="6"/>
  <c r="C83" i="13"/>
  <c r="B36" i="21"/>
  <c r="C37"/>
  <c r="G35" i="8"/>
  <c r="AK35" i="4" s="1"/>
  <c r="AK34"/>
  <c r="AI34"/>
  <c r="E35" i="8"/>
  <c r="AI35" i="4" s="1"/>
  <c r="AK40"/>
  <c r="G42" i="8"/>
  <c r="AK42" i="4" s="1"/>
  <c r="E132"/>
  <c r="B132" s="1"/>
  <c r="C60" i="21" l="1"/>
  <c r="B60" s="1"/>
  <c r="G86" i="13"/>
  <c r="G83" i="4"/>
  <c r="AG35"/>
  <c r="B35" i="8"/>
  <c r="AF32" i="4"/>
  <c r="A32" i="8"/>
  <c r="AE32" i="4" s="1"/>
  <c r="H269" i="11"/>
  <c r="H268"/>
  <c r="F76"/>
  <c r="F127"/>
  <c r="F74"/>
  <c r="F22" i="10"/>
  <c r="I138" i="11"/>
  <c r="I139" s="1"/>
  <c r="H241"/>
  <c r="I77"/>
  <c r="H242"/>
  <c r="I60"/>
  <c r="H286"/>
  <c r="I74"/>
  <c r="I22" i="10"/>
  <c r="H287" i="11"/>
  <c r="I127"/>
  <c r="I76"/>
  <c r="H60"/>
  <c r="H138"/>
  <c r="H139" s="1"/>
  <c r="H235"/>
  <c r="H77"/>
  <c r="H236"/>
  <c r="E58" i="8"/>
  <c r="AI58" i="4" s="1"/>
  <c r="AI57"/>
  <c r="E53" i="21"/>
  <c r="E54" s="1"/>
  <c r="F53"/>
  <c r="F54" s="1"/>
  <c r="D53"/>
  <c r="D54" s="1"/>
  <c r="A58"/>
  <c r="G53"/>
  <c r="G54" s="1"/>
  <c r="C53"/>
  <c r="G58" i="8"/>
  <c r="AK58" i="4" s="1"/>
  <c r="AK57"/>
  <c r="G44" i="21"/>
  <c r="G45" s="1"/>
  <c r="G46" s="1"/>
  <c r="F44"/>
  <c r="F45" s="1"/>
  <c r="F46" s="1"/>
  <c r="D44"/>
  <c r="D45" s="1"/>
  <c r="D46" s="1"/>
  <c r="C44"/>
  <c r="E44"/>
  <c r="E45" s="1"/>
  <c r="E46" s="1"/>
  <c r="G127" i="11"/>
  <c r="G74"/>
  <c r="G76"/>
  <c r="H274"/>
  <c r="G22" i="10"/>
  <c r="H275" i="11"/>
  <c r="B59"/>
  <c r="A59" s="1"/>
  <c r="H205"/>
  <c r="C77"/>
  <c r="C100" s="1"/>
  <c r="H206"/>
  <c r="C60"/>
  <c r="E60"/>
  <c r="E77"/>
  <c r="E138"/>
  <c r="E139" s="1"/>
  <c r="H217"/>
  <c r="H218"/>
  <c r="G60"/>
  <c r="H229"/>
  <c r="H230"/>
  <c r="G138"/>
  <c r="G139" s="1"/>
  <c r="G77"/>
  <c r="F183" i="17"/>
  <c r="B183" s="1"/>
  <c r="B180"/>
  <c r="B57" i="8"/>
  <c r="F59"/>
  <c r="AJ59" i="4" s="1"/>
  <c r="E85" i="6"/>
  <c r="E86" s="1"/>
  <c r="E120" s="1"/>
  <c r="E121" s="1"/>
  <c r="C59" i="8"/>
  <c r="AG59" i="4" s="1"/>
  <c r="AG58"/>
  <c r="H280" i="11"/>
  <c r="H127"/>
  <c r="H281"/>
  <c r="H22" i="10"/>
  <c r="H76" i="11"/>
  <c r="H74"/>
  <c r="F60"/>
  <c r="F138"/>
  <c r="F139" s="1"/>
  <c r="H224"/>
  <c r="F77"/>
  <c r="H223"/>
  <c r="C127"/>
  <c r="C76"/>
  <c r="C74"/>
  <c r="C22" i="10"/>
  <c r="H250" i="11"/>
  <c r="B73"/>
  <c r="A73" s="1"/>
  <c r="H251"/>
  <c r="E177" i="9"/>
  <c r="E180" s="1"/>
  <c r="E175"/>
  <c r="B175" s="1"/>
  <c r="G82" i="6"/>
  <c r="E83" i="13"/>
  <c r="E86"/>
  <c r="E87" s="1"/>
  <c r="E121" s="1"/>
  <c r="E122" s="1"/>
  <c r="C38" i="21"/>
  <c r="B38" s="1"/>
  <c r="B37"/>
  <c r="A37" s="1"/>
  <c r="AF51" i="4"/>
  <c r="A51" i="8"/>
  <c r="AE51" i="4" s="1"/>
  <c r="A48" i="8"/>
  <c r="AE48" i="4" s="1"/>
  <c r="AF48"/>
  <c r="B180" i="16"/>
  <c r="C183"/>
  <c r="B183" s="1"/>
  <c r="H211" i="11"/>
  <c r="D77"/>
  <c r="H212"/>
  <c r="D60"/>
  <c r="D138"/>
  <c r="D139" s="1"/>
  <c r="E127"/>
  <c r="E76"/>
  <c r="H262"/>
  <c r="E74"/>
  <c r="E22" i="10"/>
  <c r="H263" i="11"/>
  <c r="H256"/>
  <c r="D127"/>
  <c r="H257"/>
  <c r="D74"/>
  <c r="D22" i="10"/>
  <c r="D76" i="11"/>
  <c r="B42" i="8"/>
  <c r="AG42" i="4"/>
  <c r="G86"/>
  <c r="G83" i="13"/>
  <c r="D59" i="8"/>
  <c r="AH59" i="4" s="1"/>
  <c r="E86"/>
  <c r="E87" s="1"/>
  <c r="E121" s="1"/>
  <c r="E122" s="1"/>
  <c r="E83"/>
  <c r="C137" i="11"/>
  <c r="C138" s="1"/>
  <c r="C139" s="1"/>
  <c r="C84" i="6"/>
  <c r="C85" s="1"/>
  <c r="C86" s="1"/>
  <c r="C85" i="4"/>
  <c r="C86" s="1"/>
  <c r="C87" s="1"/>
  <c r="C85" i="13"/>
  <c r="C86" s="1"/>
  <c r="C87" s="1"/>
  <c r="F133" i="4"/>
  <c r="G133"/>
  <c r="C133"/>
  <c r="H133"/>
  <c r="D133"/>
  <c r="I133"/>
  <c r="E133"/>
  <c r="B58" i="8" l="1"/>
  <c r="AF58" i="4" s="1"/>
  <c r="E59" i="8"/>
  <c r="AI59" i="4" s="1"/>
  <c r="C93" i="11"/>
  <c r="C107"/>
  <c r="H270"/>
  <c r="H271" s="1"/>
  <c r="H282"/>
  <c r="H283" s="1"/>
  <c r="H207"/>
  <c r="H208" s="1"/>
  <c r="H276"/>
  <c r="H277" s="1"/>
  <c r="B139"/>
  <c r="A139" s="1"/>
  <c r="G59" i="8"/>
  <c r="AK59" i="4" s="1"/>
  <c r="H231" i="11"/>
  <c r="H232" s="1"/>
  <c r="H213"/>
  <c r="H214" s="1"/>
  <c r="E127" i="6"/>
  <c r="E137"/>
  <c r="E170"/>
  <c r="G52" i="8"/>
  <c r="AF57" i="4"/>
  <c r="E52" i="8"/>
  <c r="A57"/>
  <c r="AE57" i="4" s="1"/>
  <c r="D52" i="8"/>
  <c r="C52"/>
  <c r="F52"/>
  <c r="E57" i="11"/>
  <c r="E132"/>
  <c r="H140"/>
  <c r="H100"/>
  <c r="H83"/>
  <c r="H84" s="1"/>
  <c r="H93"/>
  <c r="H113"/>
  <c r="H90"/>
  <c r="H91" s="1"/>
  <c r="H92" s="1"/>
  <c r="H98"/>
  <c r="H99" s="1"/>
  <c r="H107"/>
  <c r="H105"/>
  <c r="H106" s="1"/>
  <c r="H120"/>
  <c r="I98"/>
  <c r="I99" s="1"/>
  <c r="I100"/>
  <c r="I120"/>
  <c r="I105"/>
  <c r="I106" s="1"/>
  <c r="I93"/>
  <c r="I113"/>
  <c r="I83"/>
  <c r="I84" s="1"/>
  <c r="I140"/>
  <c r="I107"/>
  <c r="I90"/>
  <c r="I91" s="1"/>
  <c r="I92" s="1"/>
  <c r="AF42" i="4"/>
  <c r="D105" i="11"/>
  <c r="D106" s="1"/>
  <c r="D120"/>
  <c r="D107"/>
  <c r="D140"/>
  <c r="D100"/>
  <c r="D98"/>
  <c r="D99" s="1"/>
  <c r="D90"/>
  <c r="D91" s="1"/>
  <c r="D92" s="1"/>
  <c r="D83"/>
  <c r="D84" s="1"/>
  <c r="D93"/>
  <c r="D113"/>
  <c r="F105"/>
  <c r="F106" s="1"/>
  <c r="F100"/>
  <c r="F140"/>
  <c r="F93"/>
  <c r="F113"/>
  <c r="F83"/>
  <c r="F84" s="1"/>
  <c r="F107"/>
  <c r="F90"/>
  <c r="F91" s="1"/>
  <c r="F98"/>
  <c r="F99" s="1"/>
  <c r="F120"/>
  <c r="G140"/>
  <c r="G107"/>
  <c r="G113"/>
  <c r="G83"/>
  <c r="G84" s="1"/>
  <c r="G100"/>
  <c r="G90"/>
  <c r="G91" s="1"/>
  <c r="G92" s="1"/>
  <c r="G105"/>
  <c r="G106" s="1"/>
  <c r="G93"/>
  <c r="G98"/>
  <c r="G99" s="1"/>
  <c r="G120"/>
  <c r="G57"/>
  <c r="G132"/>
  <c r="E140"/>
  <c r="E120"/>
  <c r="E121" s="1"/>
  <c r="E83"/>
  <c r="E84" s="1"/>
  <c r="E98"/>
  <c r="E99" s="1"/>
  <c r="E100" s="1"/>
  <c r="E113"/>
  <c r="E105"/>
  <c r="E106" s="1"/>
  <c r="E107" s="1"/>
  <c r="E90"/>
  <c r="E91" s="1"/>
  <c r="E92" s="1"/>
  <c r="E93" s="1"/>
  <c r="B77"/>
  <c r="C120"/>
  <c r="C83"/>
  <c r="C98"/>
  <c r="C99" s="1"/>
  <c r="C140"/>
  <c r="C90"/>
  <c r="C91" s="1"/>
  <c r="C92" s="1"/>
  <c r="C105"/>
  <c r="C106" s="1"/>
  <c r="C113"/>
  <c r="C54" i="21"/>
  <c r="B54" s="1"/>
  <c r="B53"/>
  <c r="H57" i="11"/>
  <c r="H125" s="1"/>
  <c r="H132"/>
  <c r="F36" i="8"/>
  <c r="G36"/>
  <c r="D36"/>
  <c r="AF35" i="4"/>
  <c r="C36" i="8"/>
  <c r="E36"/>
  <c r="E43" s="1"/>
  <c r="M74" i="11"/>
  <c r="A74" s="1"/>
  <c r="A22" i="10" s="1"/>
  <c r="E183" i="9"/>
  <c r="B183" s="1"/>
  <c r="B180"/>
  <c r="F57" i="11"/>
  <c r="F125" s="1"/>
  <c r="F92"/>
  <c r="F132"/>
  <c r="I57"/>
  <c r="I125" s="1"/>
  <c r="I132"/>
  <c r="E125"/>
  <c r="H225"/>
  <c r="H226" s="1"/>
  <c r="E128" i="4"/>
  <c r="F137" i="2"/>
  <c r="F138" s="1"/>
  <c r="F139" s="1"/>
  <c r="F141" s="1"/>
  <c r="C142" s="1"/>
  <c r="A157" s="1"/>
  <c r="F150"/>
  <c r="E138" i="4"/>
  <c r="D57" i="11"/>
  <c r="D125" s="1"/>
  <c r="D132"/>
  <c r="E138" i="13"/>
  <c r="E128"/>
  <c r="A58" i="8"/>
  <c r="AE58" i="4" s="1"/>
  <c r="C132" i="11"/>
  <c r="M60"/>
  <c r="A60" s="1"/>
  <c r="A25" i="10" s="1"/>
  <c r="C57" i="11"/>
  <c r="C45" i="21"/>
  <c r="B44"/>
  <c r="A44" s="1"/>
  <c r="H258" i="11"/>
  <c r="H259" s="1"/>
  <c r="H264"/>
  <c r="H265" s="1"/>
  <c r="H252"/>
  <c r="H253" s="1"/>
  <c r="B127"/>
  <c r="A127" s="1"/>
  <c r="H219"/>
  <c r="H220" s="1"/>
  <c r="G125"/>
  <c r="H237"/>
  <c r="H238" s="1"/>
  <c r="H288"/>
  <c r="H289" s="1"/>
  <c r="H243"/>
  <c r="H244" s="1"/>
  <c r="B87" i="13"/>
  <c r="A87" s="1"/>
  <c r="C121"/>
  <c r="B86" i="6"/>
  <c r="A86" s="1"/>
  <c r="C120"/>
  <c r="E174"/>
  <c r="B133" i="4"/>
  <c r="B87"/>
  <c r="A87" s="1"/>
  <c r="C121"/>
  <c r="E85" i="11" l="1"/>
  <c r="B100"/>
  <c r="A100" s="1"/>
  <c r="E114"/>
  <c r="H133"/>
  <c r="B93"/>
  <c r="A93" s="1"/>
  <c r="F133"/>
  <c r="B107"/>
  <c r="A107" s="1"/>
  <c r="B140"/>
  <c r="A140" s="1"/>
  <c r="AI43" i="4"/>
  <c r="E44" i="8"/>
  <c r="C133" i="11"/>
  <c r="C121"/>
  <c r="C125"/>
  <c r="B125" s="1"/>
  <c r="A125" s="1"/>
  <c r="C114"/>
  <c r="E129" i="4"/>
  <c r="B128"/>
  <c r="A128" s="1"/>
  <c r="D37" i="8"/>
  <c r="AH37" i="4" s="1"/>
  <c r="AH36"/>
  <c r="C84" i="11"/>
  <c r="B84" s="1"/>
  <c r="B83"/>
  <c r="C53" i="8"/>
  <c r="AG53" i="4" s="1"/>
  <c r="AG52"/>
  <c r="B52" i="8"/>
  <c r="B127" i="6"/>
  <c r="A127" s="1"/>
  <c r="E128"/>
  <c r="G121" i="11"/>
  <c r="D114"/>
  <c r="D121"/>
  <c r="I85"/>
  <c r="I121"/>
  <c r="H114"/>
  <c r="C46" i="21"/>
  <c r="B46" s="1"/>
  <c r="B45"/>
  <c r="A45" s="1"/>
  <c r="F53" i="8"/>
  <c r="AJ53" i="4" s="1"/>
  <c r="AJ52"/>
  <c r="AI52"/>
  <c r="E53" i="8"/>
  <c r="AI53" i="4" s="1"/>
  <c r="D133" i="11"/>
  <c r="G114"/>
  <c r="F114"/>
  <c r="H121"/>
  <c r="C43" i="8"/>
  <c r="C37"/>
  <c r="AG37" i="4" s="1"/>
  <c r="AG36"/>
  <c r="B36" i="8"/>
  <c r="F43"/>
  <c r="F37"/>
  <c r="AJ37" i="4" s="1"/>
  <c r="AJ36"/>
  <c r="E171" i="6"/>
  <c r="Y8" i="4"/>
  <c r="G133" i="11"/>
  <c r="G85"/>
  <c r="F121"/>
  <c r="F85"/>
  <c r="D85"/>
  <c r="D43" i="8"/>
  <c r="H85" i="11"/>
  <c r="C26" i="10"/>
  <c r="A27"/>
  <c r="I26"/>
  <c r="E26"/>
  <c r="G26"/>
  <c r="A28"/>
  <c r="F26"/>
  <c r="D26"/>
  <c r="H26"/>
  <c r="A26"/>
  <c r="B128" i="13"/>
  <c r="A128" s="1"/>
  <c r="E129"/>
  <c r="AI36" i="4"/>
  <c r="E37" i="8"/>
  <c r="AI37" i="4" s="1"/>
  <c r="G43" i="8"/>
  <c r="G37"/>
  <c r="AK37" i="4" s="1"/>
  <c r="AK36"/>
  <c r="A55" i="21"/>
  <c r="A53"/>
  <c r="D53" i="8"/>
  <c r="AH53" i="4" s="1"/>
  <c r="AH52"/>
  <c r="G53" i="8"/>
  <c r="AK53" i="4" s="1"/>
  <c r="AK52"/>
  <c r="I133" i="11"/>
  <c r="I114"/>
  <c r="E133"/>
  <c r="B121" i="4"/>
  <c r="C122"/>
  <c r="C122" i="13"/>
  <c r="B121"/>
  <c r="C174" i="6"/>
  <c r="Y12" i="4"/>
  <c r="B120" i="6"/>
  <c r="C121"/>
  <c r="E143" i="11" l="1"/>
  <c r="E144" s="1"/>
  <c r="E160" s="1"/>
  <c r="H143"/>
  <c r="H144" s="1"/>
  <c r="H160" s="1"/>
  <c r="G143"/>
  <c r="G144" s="1"/>
  <c r="G160" s="1"/>
  <c r="C85"/>
  <c r="C143" s="1"/>
  <c r="C27" i="10"/>
  <c r="C28" s="1"/>
  <c r="F27"/>
  <c r="F28" s="1"/>
  <c r="G27"/>
  <c r="G28" s="1"/>
  <c r="E27"/>
  <c r="E28" s="1"/>
  <c r="D27"/>
  <c r="D28" s="1"/>
  <c r="I27"/>
  <c r="I28" s="1"/>
  <c r="H27"/>
  <c r="H28" s="1"/>
  <c r="D143" i="11"/>
  <c r="D144" s="1"/>
  <c r="G44" i="8"/>
  <c r="AK43" i="4"/>
  <c r="AH43"/>
  <c r="D44" i="8"/>
  <c r="E129" i="6"/>
  <c r="E130" s="1"/>
  <c r="E133"/>
  <c r="E134" s="1"/>
  <c r="E135" s="1"/>
  <c r="C136" s="1"/>
  <c r="A136" s="1"/>
  <c r="E45" i="8"/>
  <c r="AI45" i="4" s="1"/>
  <c r="AI44"/>
  <c r="I143" i="11"/>
  <c r="I144" s="1"/>
  <c r="AF36" i="4"/>
  <c r="A36" i="8"/>
  <c r="AE36" i="4" s="1"/>
  <c r="B114" i="11"/>
  <c r="A114" s="1"/>
  <c r="B133"/>
  <c r="A133" s="1"/>
  <c r="E134" i="13"/>
  <c r="E135" s="1"/>
  <c r="E136" s="1"/>
  <c r="B136" s="1"/>
  <c r="E130"/>
  <c r="E131" s="1"/>
  <c r="E172" i="6"/>
  <c r="Y9" i="4"/>
  <c r="F44" i="8"/>
  <c r="AJ43" i="4"/>
  <c r="AG43"/>
  <c r="C44" i="8"/>
  <c r="B43"/>
  <c r="A54"/>
  <c r="AE54" i="4" s="1"/>
  <c r="A52" i="8"/>
  <c r="AE52" i="4" s="1"/>
  <c r="AF52"/>
  <c r="E130"/>
  <c r="E131" s="1"/>
  <c r="E134"/>
  <c r="E135" s="1"/>
  <c r="E136" s="1"/>
  <c r="B136" s="1"/>
  <c r="C137" s="1"/>
  <c r="C138" s="1"/>
  <c r="C139" s="1"/>
  <c r="C140" s="1"/>
  <c r="C141" s="1"/>
  <c r="F143" i="11"/>
  <c r="F144" s="1"/>
  <c r="B121"/>
  <c r="A121" s="1"/>
  <c r="C138" i="13"/>
  <c r="C139" s="1"/>
  <c r="C140" s="1"/>
  <c r="C141" s="1"/>
  <c r="B122"/>
  <c r="B174" i="6"/>
  <c r="W12" i="4"/>
  <c r="B122"/>
  <c r="D150" i="2"/>
  <c r="B121" i="6"/>
  <c r="E150" i="11" l="1"/>
  <c r="E151" s="1"/>
  <c r="G150"/>
  <c r="G151" s="1"/>
  <c r="G152" s="1"/>
  <c r="G153" s="1"/>
  <c r="B44" i="8"/>
  <c r="A44" s="1"/>
  <c r="AE44" i="4" s="1"/>
  <c r="H150" i="11"/>
  <c r="H151" s="1"/>
  <c r="H156" s="1"/>
  <c r="H157" s="1"/>
  <c r="H158" s="1"/>
  <c r="B85"/>
  <c r="A85" s="1"/>
  <c r="C137" i="6"/>
  <c r="C138" s="1"/>
  <c r="C139" s="1"/>
  <c r="C140" s="1"/>
  <c r="C141" s="1"/>
  <c r="C142" s="1"/>
  <c r="C143" s="1"/>
  <c r="C145" s="1"/>
  <c r="B172"/>
  <c r="Y10" i="4"/>
  <c r="G45" i="8"/>
  <c r="AK45" i="4" s="1"/>
  <c r="AK44"/>
  <c r="F160" i="11"/>
  <c r="F150"/>
  <c r="F151" s="1"/>
  <c r="C45" i="8"/>
  <c r="AG45" i="4" s="1"/>
  <c r="AG44"/>
  <c r="C145" i="13"/>
  <c r="B131"/>
  <c r="E226" i="4"/>
  <c r="D226" s="1"/>
  <c r="G240" i="3" s="1"/>
  <c r="B131" i="4"/>
  <c r="C145"/>
  <c r="AF43"/>
  <c r="A43" i="8"/>
  <c r="AE43" i="4" s="1"/>
  <c r="AJ44"/>
  <c r="F45" i="8"/>
  <c r="AJ45" i="4" s="1"/>
  <c r="H152" i="11"/>
  <c r="H153" s="1"/>
  <c r="B130" i="6"/>
  <c r="E213"/>
  <c r="B213" s="1"/>
  <c r="A204" s="1"/>
  <c r="C144"/>
  <c r="J130"/>
  <c r="B143" i="11"/>
  <c r="C144"/>
  <c r="B144" s="1"/>
  <c r="D114" i="2"/>
  <c r="D67" s="1"/>
  <c r="A137" i="4"/>
  <c r="I160" i="11"/>
  <c r="I150"/>
  <c r="I151" s="1"/>
  <c r="AH44" i="4"/>
  <c r="D45" i="8"/>
  <c r="AH45" i="4" s="1"/>
  <c r="D163" i="11"/>
  <c r="D164" s="1"/>
  <c r="D165" s="1"/>
  <c r="D166" s="1"/>
  <c r="D160"/>
  <c r="D137" i="2"/>
  <c r="D138" s="1"/>
  <c r="D144" i="6"/>
  <c r="C150" i="2"/>
  <c r="A159"/>
  <c r="V12" i="4"/>
  <c r="B141" i="13"/>
  <c r="C142"/>
  <c r="C143" s="1"/>
  <c r="C144" s="1"/>
  <c r="C146" s="1"/>
  <c r="D145"/>
  <c r="D146"/>
  <c r="B141" i="4"/>
  <c r="A141" s="1"/>
  <c r="C142"/>
  <c r="C143" s="1"/>
  <c r="C144" s="1"/>
  <c r="C146" s="1"/>
  <c r="D146"/>
  <c r="D145"/>
  <c r="D145" i="6" l="1"/>
  <c r="B140"/>
  <c r="B173" s="1"/>
  <c r="B175" s="1"/>
  <c r="C137" i="2"/>
  <c r="G156" i="11"/>
  <c r="G157" s="1"/>
  <c r="G158" s="1"/>
  <c r="AF44" i="4"/>
  <c r="J209" i="6"/>
  <c r="I209" s="1"/>
  <c r="L209"/>
  <c r="D209"/>
  <c r="B210" s="1"/>
  <c r="K209"/>
  <c r="I210" s="1"/>
  <c r="J210" s="1"/>
  <c r="C209"/>
  <c r="B209" s="1"/>
  <c r="E209"/>
  <c r="B211" s="1"/>
  <c r="C210" s="1"/>
  <c r="E152" i="11"/>
  <c r="E153" s="1"/>
  <c r="E156"/>
  <c r="E157" s="1"/>
  <c r="E158" s="1"/>
  <c r="V10" i="4"/>
  <c r="B186" i="6"/>
  <c r="V24" i="4" s="1"/>
  <c r="B150" i="11"/>
  <c r="A150" s="1"/>
  <c r="I152"/>
  <c r="I153" s="1"/>
  <c r="I156"/>
  <c r="I157" s="1"/>
  <c r="I158" s="1"/>
  <c r="D135" i="2"/>
  <c r="C135" s="1"/>
  <c r="C67"/>
  <c r="F156" i="11"/>
  <c r="F157" s="1"/>
  <c r="F158" s="1"/>
  <c r="F152"/>
  <c r="F153" s="1"/>
  <c r="B145" i="6"/>
  <c r="B146" i="4"/>
  <c r="A146" s="1"/>
  <c r="C138" i="2"/>
  <c r="D139"/>
  <c r="C139" s="1"/>
  <c r="B145" i="13"/>
  <c r="A145" s="1"/>
  <c r="B144" i="6"/>
  <c r="A144" s="1"/>
  <c r="B145" i="4"/>
  <c r="A145" s="1"/>
  <c r="B146" i="13"/>
  <c r="E147" s="1"/>
  <c r="E146" i="6" l="1"/>
  <c r="V11" i="4"/>
  <c r="C146" i="6"/>
  <c r="C211"/>
  <c r="A203" s="1"/>
  <c r="C147" i="4"/>
  <c r="C167" i="11"/>
  <c r="B153"/>
  <c r="C159"/>
  <c r="I147" i="13"/>
  <c r="I146" i="6"/>
  <c r="H147" i="13"/>
  <c r="G147" i="4"/>
  <c r="E147"/>
  <c r="I147"/>
  <c r="H147"/>
  <c r="C147" i="13"/>
  <c r="G147"/>
  <c r="F147"/>
  <c r="D147" i="4"/>
  <c r="F147"/>
  <c r="H146" i="6"/>
  <c r="G146"/>
  <c r="V13" i="4"/>
  <c r="D147" i="13"/>
  <c r="D146" i="6"/>
  <c r="F146"/>
  <c r="C179" l="1"/>
  <c r="W17" i="4" s="1"/>
  <c r="A205" i="6"/>
  <c r="B179" s="1"/>
  <c r="C160" i="11"/>
  <c r="C161" s="1"/>
  <c r="C162" s="1"/>
  <c r="C163" s="1"/>
  <c r="A159"/>
  <c r="D148" i="4"/>
  <c r="D149" s="1"/>
  <c r="D147" i="6"/>
  <c r="D148" s="1"/>
  <c r="D156" s="1"/>
  <c r="D157" s="1"/>
  <c r="B147" i="13"/>
  <c r="F148" s="1"/>
  <c r="F149" s="1"/>
  <c r="C148"/>
  <c r="D148"/>
  <c r="C147" i="6"/>
  <c r="B147" i="4"/>
  <c r="E148" s="1"/>
  <c r="C148"/>
  <c r="B146" i="6"/>
  <c r="E147" s="1"/>
  <c r="E148" s="1"/>
  <c r="V17" i="4" l="1"/>
  <c r="B180" i="6"/>
  <c r="D167" i="11"/>
  <c r="B167" s="1"/>
  <c r="A167" s="1"/>
  <c r="C164"/>
  <c r="C165" s="1"/>
  <c r="C166" s="1"/>
  <c r="C168" s="1"/>
  <c r="B163"/>
  <c r="D168"/>
  <c r="D172" i="4"/>
  <c r="D171"/>
  <c r="D7" i="14" s="1"/>
  <c r="D154" i="6"/>
  <c r="D159" s="1"/>
  <c r="D160" s="1"/>
  <c r="I148" i="13"/>
  <c r="I149" s="1"/>
  <c r="I155" s="1"/>
  <c r="G148"/>
  <c r="G149" s="1"/>
  <c r="G155" s="1"/>
  <c r="G147" i="6"/>
  <c r="G148" s="1"/>
  <c r="G154" s="1"/>
  <c r="I147"/>
  <c r="I148" s="1"/>
  <c r="I154" s="1"/>
  <c r="H148" i="4"/>
  <c r="H149" s="1"/>
  <c r="H155" s="1"/>
  <c r="D151" i="6"/>
  <c r="D153" s="1"/>
  <c r="F155" i="13"/>
  <c r="F157"/>
  <c r="F158" s="1"/>
  <c r="E154" i="6"/>
  <c r="E156"/>
  <c r="E157" s="1"/>
  <c r="E172" i="4"/>
  <c r="E171"/>
  <c r="E149"/>
  <c r="D172" i="13"/>
  <c r="D18" i="14" s="1"/>
  <c r="D173" i="13"/>
  <c r="D175" s="1"/>
  <c r="D149"/>
  <c r="C173"/>
  <c r="C175" s="1"/>
  <c r="C172"/>
  <c r="C149"/>
  <c r="E148"/>
  <c r="H147" i="6"/>
  <c r="H148" s="1"/>
  <c r="F147"/>
  <c r="F148" s="1"/>
  <c r="H148" i="13"/>
  <c r="H149" s="1"/>
  <c r="F148" i="4"/>
  <c r="F149" s="1"/>
  <c r="I148"/>
  <c r="I149" s="1"/>
  <c r="C148" i="6"/>
  <c r="D155" i="4"/>
  <c r="D157"/>
  <c r="D158" s="1"/>
  <c r="G148"/>
  <c r="G149" s="1"/>
  <c r="C172"/>
  <c r="C174" s="1"/>
  <c r="C171"/>
  <c r="C149"/>
  <c r="I157" i="13"/>
  <c r="I158" s="1"/>
  <c r="C188" i="6" l="1"/>
  <c r="W26" i="4" s="1"/>
  <c r="E188" i="6"/>
  <c r="B187"/>
  <c r="V25" i="4" s="1"/>
  <c r="B188" i="6"/>
  <c r="B182"/>
  <c r="V18" i="4"/>
  <c r="B168" i="11"/>
  <c r="H169" s="1"/>
  <c r="D174" i="4"/>
  <c r="D178" s="1"/>
  <c r="D181" s="1"/>
  <c r="D182" s="1"/>
  <c r="G156" i="6"/>
  <c r="G157" s="1"/>
  <c r="G159" s="1"/>
  <c r="G160" s="1"/>
  <c r="G157" i="13"/>
  <c r="G158" s="1"/>
  <c r="G171" s="1"/>
  <c r="D160" i="4"/>
  <c r="D161" s="1"/>
  <c r="D162" i="13" s="1"/>
  <c r="I156" i="6"/>
  <c r="I157" s="1"/>
  <c r="I159" s="1"/>
  <c r="I160" s="1"/>
  <c r="D152" i="4"/>
  <c r="D154" s="1"/>
  <c r="H157"/>
  <c r="H158" s="1"/>
  <c r="H160" s="1"/>
  <c r="H161" s="1"/>
  <c r="F152" i="13"/>
  <c r="F154" s="1"/>
  <c r="I171"/>
  <c r="I174" s="1"/>
  <c r="B148" i="4"/>
  <c r="A148" s="1"/>
  <c r="E159" i="6"/>
  <c r="E160" s="1"/>
  <c r="D155" i="13"/>
  <c r="D157"/>
  <c r="D158" s="1"/>
  <c r="C178" i="4"/>
  <c r="C181" s="1"/>
  <c r="C182" s="1"/>
  <c r="C176"/>
  <c r="D10" i="7"/>
  <c r="D11" s="1"/>
  <c r="D170" i="4"/>
  <c r="F155"/>
  <c r="F157"/>
  <c r="F158" s="1"/>
  <c r="F154" i="6"/>
  <c r="F156"/>
  <c r="F157" s="1"/>
  <c r="E173" i="13"/>
  <c r="E175" s="1"/>
  <c r="E172"/>
  <c r="E18" i="14" s="1"/>
  <c r="E149" i="13"/>
  <c r="E7" i="14"/>
  <c r="E174" i="4"/>
  <c r="I152" i="13"/>
  <c r="I154" s="1"/>
  <c r="B148"/>
  <c r="E151" i="6"/>
  <c r="E153" s="1"/>
  <c r="F171" i="13"/>
  <c r="C155"/>
  <c r="C157"/>
  <c r="C158" s="1"/>
  <c r="C7" i="14"/>
  <c r="B171" i="4"/>
  <c r="H155" i="13"/>
  <c r="H157"/>
  <c r="H158" s="1"/>
  <c r="C154" i="6"/>
  <c r="B148"/>
  <c r="C156"/>
  <c r="C157" s="1"/>
  <c r="I155" i="4"/>
  <c r="I157"/>
  <c r="I158" s="1"/>
  <c r="H154" i="6"/>
  <c r="H156"/>
  <c r="H157" s="1"/>
  <c r="C179" i="13"/>
  <c r="C182" s="1"/>
  <c r="C183" s="1"/>
  <c r="C177"/>
  <c r="E155" i="4"/>
  <c r="E157"/>
  <c r="E158" s="1"/>
  <c r="B149"/>
  <c r="C155"/>
  <c r="C157"/>
  <c r="C158" s="1"/>
  <c r="G155"/>
  <c r="G157"/>
  <c r="G158" s="1"/>
  <c r="C18" i="14"/>
  <c r="D177" i="13"/>
  <c r="D179"/>
  <c r="D182" s="1"/>
  <c r="D183" s="1"/>
  <c r="I160"/>
  <c r="I161" s="1"/>
  <c r="B147" i="6"/>
  <c r="F160" i="13"/>
  <c r="F161" s="1"/>
  <c r="B184" i="6" l="1"/>
  <c r="V22" i="4" s="1"/>
  <c r="V20"/>
  <c r="D169" i="11"/>
  <c r="D188" i="6"/>
  <c r="X26" i="4" s="1"/>
  <c r="Y26"/>
  <c r="C169" i="11"/>
  <c r="V26" i="4"/>
  <c r="B189" i="6"/>
  <c r="I169" i="11"/>
  <c r="G169"/>
  <c r="F169"/>
  <c r="E169"/>
  <c r="E152" i="2"/>
  <c r="D176" i="4"/>
  <c r="H170"/>
  <c r="H6" i="14" s="1"/>
  <c r="B18"/>
  <c r="G160" i="13"/>
  <c r="G161" s="1"/>
  <c r="B172"/>
  <c r="G151" i="6"/>
  <c r="G153" s="1"/>
  <c r="I17" i="14"/>
  <c r="G152" i="13"/>
  <c r="G154" s="1"/>
  <c r="G174"/>
  <c r="G176" s="1"/>
  <c r="G17" i="14"/>
  <c r="I151" i="6"/>
  <c r="I153" s="1"/>
  <c r="E160" i="4"/>
  <c r="E161" s="1"/>
  <c r="F152" i="2" s="1"/>
  <c r="H159" i="6"/>
  <c r="H160" s="1"/>
  <c r="I160" i="4"/>
  <c r="I161" s="1"/>
  <c r="I162" i="13" s="1"/>
  <c r="I163" s="1"/>
  <c r="G152" i="4"/>
  <c r="G154" s="1"/>
  <c r="C159" i="6"/>
  <c r="C160" s="1"/>
  <c r="H151"/>
  <c r="H153" s="1"/>
  <c r="F160" i="4"/>
  <c r="F161" s="1"/>
  <c r="F162" i="13" s="1"/>
  <c r="F163" s="1"/>
  <c r="D171"/>
  <c r="D174" s="1"/>
  <c r="H162"/>
  <c r="I152" i="2"/>
  <c r="E152" i="4"/>
  <c r="E154" s="1"/>
  <c r="I152"/>
  <c r="I154" s="1"/>
  <c r="F159" i="6"/>
  <c r="F160" s="1"/>
  <c r="H152" i="4"/>
  <c r="H154" s="1"/>
  <c r="H171" i="13"/>
  <c r="H17" i="14" s="1"/>
  <c r="H10" i="7"/>
  <c r="H11" s="1"/>
  <c r="H14" s="1"/>
  <c r="B7" i="14"/>
  <c r="C150" i="6"/>
  <c r="D150"/>
  <c r="D15" i="7"/>
  <c r="D16" s="1"/>
  <c r="D17" s="1"/>
  <c r="D14"/>
  <c r="D12"/>
  <c r="D13" s="1"/>
  <c r="G10"/>
  <c r="G11" s="1"/>
  <c r="G170" i="4"/>
  <c r="C10" i="7"/>
  <c r="C11" s="1"/>
  <c r="C170" i="4"/>
  <c r="B155"/>
  <c r="A155" s="1"/>
  <c r="C171" i="13"/>
  <c r="D6" i="14"/>
  <c r="D173" i="4"/>
  <c r="H152" i="13"/>
  <c r="H154" s="1"/>
  <c r="C160"/>
  <c r="D152"/>
  <c r="D154" s="1"/>
  <c r="C151" i="4"/>
  <c r="D151"/>
  <c r="F17" i="14"/>
  <c r="F174" i="13"/>
  <c r="E177"/>
  <c r="E179"/>
  <c r="E182" s="1"/>
  <c r="E183" s="1"/>
  <c r="F10" i="7"/>
  <c r="F11" s="1"/>
  <c r="F170" i="4"/>
  <c r="B158"/>
  <c r="A158" s="1"/>
  <c r="B154" i="6"/>
  <c r="A154" s="1"/>
  <c r="C152" i="13"/>
  <c r="C154" s="1"/>
  <c r="E155"/>
  <c r="E157"/>
  <c r="E158" s="1"/>
  <c r="B158" s="1"/>
  <c r="A158" s="1"/>
  <c r="E176" i="4"/>
  <c r="E178"/>
  <c r="E181" s="1"/>
  <c r="E182" s="1"/>
  <c r="E188" i="11"/>
  <c r="E187"/>
  <c r="E10" i="7"/>
  <c r="E11" s="1"/>
  <c r="E170" i="4"/>
  <c r="I10" i="7"/>
  <c r="I11" s="1"/>
  <c r="I170" i="4"/>
  <c r="I178" i="13"/>
  <c r="I176"/>
  <c r="B157" i="6"/>
  <c r="A157" s="1"/>
  <c r="G160" i="4"/>
  <c r="G161" s="1"/>
  <c r="C160"/>
  <c r="C152"/>
  <c r="C154" s="1"/>
  <c r="C151" i="6"/>
  <c r="C153" s="1"/>
  <c r="H160" i="13"/>
  <c r="H161" s="1"/>
  <c r="B149"/>
  <c r="F151" i="6"/>
  <c r="F153" s="1"/>
  <c r="F152" i="4"/>
  <c r="F154" s="1"/>
  <c r="D160" i="13"/>
  <c r="D161" s="1"/>
  <c r="D163" s="1"/>
  <c r="V27" i="4" l="1"/>
  <c r="B190" i="6"/>
  <c r="V28" i="4" s="1"/>
  <c r="H173"/>
  <c r="H175" s="1"/>
  <c r="B169" i="11"/>
  <c r="H170" s="1"/>
  <c r="H171" s="1"/>
  <c r="H176" s="1"/>
  <c r="H177" s="1"/>
  <c r="H179" s="1"/>
  <c r="C170"/>
  <c r="D170"/>
  <c r="D188" s="1"/>
  <c r="H163" i="13"/>
  <c r="E162"/>
  <c r="G178"/>
  <c r="G181" s="1"/>
  <c r="H174"/>
  <c r="H176" s="1"/>
  <c r="J152" i="2"/>
  <c r="G152"/>
  <c r="H15" i="7"/>
  <c r="H16" s="1"/>
  <c r="H17" s="1"/>
  <c r="H12"/>
  <c r="H13" s="1"/>
  <c r="D17" i="14"/>
  <c r="B160" i="6"/>
  <c r="B191" s="1"/>
  <c r="V29" i="4" s="1"/>
  <c r="E160" i="13"/>
  <c r="E161" s="1"/>
  <c r="B150" i="6"/>
  <c r="A150" s="1"/>
  <c r="B159"/>
  <c r="G162" i="13"/>
  <c r="G163" s="1"/>
  <c r="H152" i="2"/>
  <c r="C161" i="13"/>
  <c r="C15" i="7"/>
  <c r="C16" s="1"/>
  <c r="C17" s="1"/>
  <c r="C14"/>
  <c r="C12"/>
  <c r="C13" s="1"/>
  <c r="B160" i="4"/>
  <c r="C161"/>
  <c r="I20" i="14"/>
  <c r="I181" i="13"/>
  <c r="E14" i="7"/>
  <c r="E15"/>
  <c r="E16" s="1"/>
  <c r="E17" s="1"/>
  <c r="E12"/>
  <c r="E13" s="1"/>
  <c r="E189" i="11"/>
  <c r="E190"/>
  <c r="F6" i="14"/>
  <c r="F173" i="4"/>
  <c r="F178" i="13"/>
  <c r="F176"/>
  <c r="C17" i="14"/>
  <c r="C174" i="13"/>
  <c r="C6" i="14"/>
  <c r="B170" i="4"/>
  <c r="C173"/>
  <c r="E171" i="13"/>
  <c r="B171" s="1"/>
  <c r="I6" i="14"/>
  <c r="I173" i="4"/>
  <c r="H177"/>
  <c r="F15" i="7"/>
  <c r="F16" s="1"/>
  <c r="F17" s="1"/>
  <c r="F14"/>
  <c r="F12"/>
  <c r="F13" s="1"/>
  <c r="D175" i="4"/>
  <c r="D177"/>
  <c r="C151" i="13"/>
  <c r="D151"/>
  <c r="I19" i="14"/>
  <c r="I190" i="13"/>
  <c r="I28" i="14" s="1"/>
  <c r="E6"/>
  <c r="E173" i="4"/>
  <c r="G15" i="7"/>
  <c r="G16" s="1"/>
  <c r="G17" s="1"/>
  <c r="G14"/>
  <c r="G12"/>
  <c r="G13" s="1"/>
  <c r="D176" i="13"/>
  <c r="D178"/>
  <c r="G19" i="14"/>
  <c r="G190" i="13"/>
  <c r="G28" i="14" s="1"/>
  <c r="E152" i="13"/>
  <c r="E154" s="1"/>
  <c r="B151" i="4"/>
  <c r="A151" s="1"/>
  <c r="B155" i="13"/>
  <c r="A155" s="1"/>
  <c r="D18" i="7"/>
  <c r="D19" s="1"/>
  <c r="D20" s="1"/>
  <c r="D21" s="1"/>
  <c r="I14"/>
  <c r="I15"/>
  <c r="I16" s="1"/>
  <c r="I17" s="1"/>
  <c r="I12"/>
  <c r="I13" s="1"/>
  <c r="G6" i="14"/>
  <c r="G173" i="4"/>
  <c r="E170" i="11" l="1"/>
  <c r="E171" s="1"/>
  <c r="E176" s="1"/>
  <c r="E177" s="1"/>
  <c r="E179" s="1"/>
  <c r="F170"/>
  <c r="F171" s="1"/>
  <c r="F176" s="1"/>
  <c r="F177" s="1"/>
  <c r="F179" s="1"/>
  <c r="I170"/>
  <c r="I171" s="1"/>
  <c r="I176" s="1"/>
  <c r="I177" s="1"/>
  <c r="I179" s="1"/>
  <c r="G170"/>
  <c r="G171" s="1"/>
  <c r="G176" s="1"/>
  <c r="G177" s="1"/>
  <c r="G179" s="1"/>
  <c r="C171"/>
  <c r="C188"/>
  <c r="C190" s="1"/>
  <c r="C187"/>
  <c r="D187"/>
  <c r="D171"/>
  <c r="D176" s="1"/>
  <c r="D177" s="1"/>
  <c r="D179" s="1"/>
  <c r="E163" i="13"/>
  <c r="G20" i="14"/>
  <c r="H178" i="13"/>
  <c r="H20" i="14" s="1"/>
  <c r="A158" i="2"/>
  <c r="H18" i="7"/>
  <c r="H19" s="1"/>
  <c r="H20" s="1"/>
  <c r="H21" s="1"/>
  <c r="A192" i="6"/>
  <c r="U30" i="4" s="1"/>
  <c r="B192" i="6"/>
  <c r="B193" s="1"/>
  <c r="B160" i="13"/>
  <c r="C18" i="7"/>
  <c r="C19" s="1"/>
  <c r="C20" s="1"/>
  <c r="C21" s="1"/>
  <c r="I18"/>
  <c r="I19" s="1"/>
  <c r="I20" s="1"/>
  <c r="I21" s="1"/>
  <c r="G18"/>
  <c r="G19" s="1"/>
  <c r="G20" s="1"/>
  <c r="G21" s="1"/>
  <c r="C177" i="4"/>
  <c r="C175"/>
  <c r="F177"/>
  <c r="F175"/>
  <c r="E194" i="11"/>
  <c r="E197" s="1"/>
  <c r="E198" s="1"/>
  <c r="E192"/>
  <c r="B161" i="13"/>
  <c r="G177" i="4"/>
  <c r="G175"/>
  <c r="D20" i="14"/>
  <c r="D181" i="13"/>
  <c r="I175" i="4"/>
  <c r="I177"/>
  <c r="C176" i="13"/>
  <c r="C178"/>
  <c r="F20" i="14"/>
  <c r="F181" i="13"/>
  <c r="C162"/>
  <c r="C163" s="1"/>
  <c r="B161" i="4"/>
  <c r="D152" i="2"/>
  <c r="B151" i="13"/>
  <c r="A151" s="1"/>
  <c r="D9" i="14"/>
  <c r="D180" i="4"/>
  <c r="E175"/>
  <c r="E177"/>
  <c r="H19" i="14"/>
  <c r="H190" i="13"/>
  <c r="H28" i="14" s="1"/>
  <c r="H8"/>
  <c r="H189" i="13"/>
  <c r="E17" i="14"/>
  <c r="B17" s="1"/>
  <c r="E174" i="13"/>
  <c r="F19" i="14"/>
  <c r="F190" i="13"/>
  <c r="F28" i="14" s="1"/>
  <c r="F18" i="7"/>
  <c r="F19" s="1"/>
  <c r="F20" s="1"/>
  <c r="F21" s="1"/>
  <c r="B6" i="14"/>
  <c r="E18" i="7"/>
  <c r="E19" s="1"/>
  <c r="E20" s="1"/>
  <c r="E21" s="1"/>
  <c r="D19" i="14"/>
  <c r="D190" i="13"/>
  <c r="D28" i="14" s="1"/>
  <c r="G22"/>
  <c r="G184" i="13"/>
  <c r="D8" i="14"/>
  <c r="D189" i="13"/>
  <c r="H9" i="14"/>
  <c r="H180" i="4"/>
  <c r="E193" i="11"/>
  <c r="E196" s="1"/>
  <c r="E199" s="1"/>
  <c r="E191"/>
  <c r="I184" i="13"/>
  <c r="I22" i="14"/>
  <c r="B170" i="11" l="1"/>
  <c r="D189"/>
  <c r="D190"/>
  <c r="C176"/>
  <c r="B171"/>
  <c r="C194"/>
  <c r="C197" s="1"/>
  <c r="C198" s="1"/>
  <c r="C192"/>
  <c r="C189"/>
  <c r="B187"/>
  <c r="H181" i="13"/>
  <c r="H22" i="14" s="1"/>
  <c r="C193" i="6"/>
  <c r="W31" i="4" s="1"/>
  <c r="B241" i="3"/>
  <c r="V31" i="4"/>
  <c r="V37"/>
  <c r="B166" i="2" s="1"/>
  <c r="V30" i="4"/>
  <c r="D193" i="6"/>
  <c r="I23" i="14"/>
  <c r="I196" i="13"/>
  <c r="I31" i="14" s="1"/>
  <c r="E189" i="13"/>
  <c r="E8" i="14"/>
  <c r="A152" i="2"/>
  <c r="C152"/>
  <c r="I189" i="13"/>
  <c r="I8" i="14"/>
  <c r="G9"/>
  <c r="G180" i="4"/>
  <c r="C9" i="14"/>
  <c r="C180" i="4"/>
  <c r="H11" i="14"/>
  <c r="H183" i="4"/>
  <c r="D27" i="14"/>
  <c r="D191" i="13"/>
  <c r="D192" s="1"/>
  <c r="D193" s="1"/>
  <c r="H27" i="14"/>
  <c r="H191" i="13"/>
  <c r="H192" s="1"/>
  <c r="H193" s="1"/>
  <c r="E9" i="14"/>
  <c r="E180" i="4"/>
  <c r="F22" i="14"/>
  <c r="F184" i="13"/>
  <c r="I9" i="14"/>
  <c r="I180" i="4"/>
  <c r="G8" i="14"/>
  <c r="G189" i="13"/>
  <c r="C8" i="14"/>
  <c r="C189" i="13"/>
  <c r="B175" i="4"/>
  <c r="B189" i="13" s="1"/>
  <c r="B21" i="7"/>
  <c r="B24" s="1"/>
  <c r="C19" i="14"/>
  <c r="C190" i="13"/>
  <c r="C28" i="14" s="1"/>
  <c r="B226" i="12"/>
  <c r="F9" i="14"/>
  <c r="F180" i="4"/>
  <c r="G23" i="14"/>
  <c r="G196" i="13"/>
  <c r="G31" i="14" s="1"/>
  <c r="E178" i="13"/>
  <c r="E176"/>
  <c r="B176" s="1"/>
  <c r="B190" s="1"/>
  <c r="D11" i="14"/>
  <c r="D183" i="4"/>
  <c r="B229" i="18"/>
  <c r="B162" i="13"/>
  <c r="B163" s="1"/>
  <c r="K56" i="4"/>
  <c r="L57"/>
  <c r="B235" i="3"/>
  <c r="C235"/>
  <c r="C20" i="14"/>
  <c r="C181" i="13"/>
  <c r="D184"/>
  <c r="D22" i="14"/>
  <c r="F189" i="13"/>
  <c r="F8" i="14"/>
  <c r="H184" i="13" l="1"/>
  <c r="H196" s="1"/>
  <c r="H31" i="14" s="1"/>
  <c r="D191" i="11"/>
  <c r="D193"/>
  <c r="D196" s="1"/>
  <c r="D199" s="1"/>
  <c r="D194"/>
  <c r="D197" s="1"/>
  <c r="D198" s="1"/>
  <c r="D192"/>
  <c r="C177"/>
  <c r="B176"/>
  <c r="C193"/>
  <c r="C196" s="1"/>
  <c r="C191"/>
  <c r="D173"/>
  <c r="C173"/>
  <c r="C241" i="3"/>
  <c r="G160" i="2" s="1"/>
  <c r="X31" i="4"/>
  <c r="X37"/>
  <c r="F191" i="13"/>
  <c r="F192" s="1"/>
  <c r="F193" s="1"/>
  <c r="F27" i="14"/>
  <c r="D23"/>
  <c r="D196" i="13"/>
  <c r="D31" i="14" s="1"/>
  <c r="E20"/>
  <c r="E181" i="13"/>
  <c r="B181" s="1"/>
  <c r="H23" i="14"/>
  <c r="C27"/>
  <c r="C191" i="13"/>
  <c r="C192" s="1"/>
  <c r="C193" s="1"/>
  <c r="I11" i="14"/>
  <c r="I183" i="4"/>
  <c r="E11" i="14"/>
  <c r="E183" i="4"/>
  <c r="C11" i="14"/>
  <c r="C183" i="4"/>
  <c r="B180"/>
  <c r="E19" i="14"/>
  <c r="B19" s="1"/>
  <c r="E190" i="13"/>
  <c r="E28" i="14" s="1"/>
  <c r="B28" s="1"/>
  <c r="B191" i="13"/>
  <c r="B192" s="1"/>
  <c r="G27" i="14"/>
  <c r="G191" i="13"/>
  <c r="G192" s="1"/>
  <c r="G193" s="1"/>
  <c r="H12" i="14"/>
  <c r="H195" i="13"/>
  <c r="G11" i="14"/>
  <c r="G183" i="4"/>
  <c r="B160" i="2"/>
  <c r="B62" i="21" s="1"/>
  <c r="C153" i="2" s="1"/>
  <c r="B169" s="1"/>
  <c r="A154"/>
  <c r="C154" s="1"/>
  <c r="F23" i="14"/>
  <c r="F196" i="13"/>
  <c r="F31" i="14" s="1"/>
  <c r="C22"/>
  <c r="C184" i="13"/>
  <c r="D12" i="14"/>
  <c r="D195" i="13"/>
  <c r="F11" i="14"/>
  <c r="F183" i="4"/>
  <c r="I191" i="13"/>
  <c r="I192" s="1"/>
  <c r="I193" s="1"/>
  <c r="I27" i="14"/>
  <c r="E27"/>
  <c r="B8"/>
  <c r="B173" i="11" l="1"/>
  <c r="A173" s="1"/>
  <c r="B177"/>
  <c r="C179"/>
  <c r="C199"/>
  <c r="B199" s="1"/>
  <c r="B196"/>
  <c r="B191"/>
  <c r="G235" i="3"/>
  <c r="F160" i="2"/>
  <c r="B153"/>
  <c r="A153"/>
  <c r="E191" i="13"/>
  <c r="E192" s="1"/>
  <c r="C23" i="14"/>
  <c r="C196" i="13"/>
  <c r="C31" i="14" s="1"/>
  <c r="G195" i="13"/>
  <c r="G12" i="14"/>
  <c r="E12"/>
  <c r="E195" i="13"/>
  <c r="E184"/>
  <c r="B184" s="1"/>
  <c r="B196" s="1"/>
  <c r="E22" i="14"/>
  <c r="B22" s="1"/>
  <c r="H30"/>
  <c r="H198" i="13"/>
  <c r="H199" s="1"/>
  <c r="H32" i="14" s="1"/>
  <c r="H197" i="13"/>
  <c r="H194" s="1"/>
  <c r="H29" i="14" s="1"/>
  <c r="F195" i="13"/>
  <c r="F12" i="14"/>
  <c r="D30"/>
  <c r="D198" i="13"/>
  <c r="D199" s="1"/>
  <c r="D32" i="14" s="1"/>
  <c r="D197" i="13"/>
  <c r="D194" s="1"/>
  <c r="D29" i="14" s="1"/>
  <c r="B27"/>
  <c r="B11"/>
  <c r="C195" i="13"/>
  <c r="C12" i="14"/>
  <c r="B183" i="4"/>
  <c r="B195" i="13" s="1"/>
  <c r="I12" i="14"/>
  <c r="I195" i="13"/>
  <c r="E193" l="1"/>
  <c r="B12" i="14"/>
  <c r="B197" i="13"/>
  <c r="F197"/>
  <c r="F194" s="1"/>
  <c r="F29" i="14" s="1"/>
  <c r="F30"/>
  <c r="F198" i="13"/>
  <c r="F199" s="1"/>
  <c r="F32" i="14" s="1"/>
  <c r="E30"/>
  <c r="E23"/>
  <c r="B23" s="1"/>
  <c r="E196" i="13"/>
  <c r="E31" i="14" s="1"/>
  <c r="B31" s="1"/>
  <c r="G30"/>
  <c r="G198" i="13"/>
  <c r="G199" s="1"/>
  <c r="G32" i="14" s="1"/>
  <c r="G197" i="13"/>
  <c r="G194" s="1"/>
  <c r="G29" i="14" s="1"/>
  <c r="I30"/>
  <c r="I198" i="13"/>
  <c r="I199" s="1"/>
  <c r="I32" i="14" s="1"/>
  <c r="I197" i="13"/>
  <c r="I194" s="1"/>
  <c r="I29" i="14" s="1"/>
  <c r="C30"/>
  <c r="C198" i="13"/>
  <c r="C199" s="1"/>
  <c r="C197"/>
  <c r="C194" s="1"/>
  <c r="E198" l="1"/>
  <c r="E199" s="1"/>
  <c r="E32" i="14" s="1"/>
  <c r="E197" i="13"/>
  <c r="E194" s="1"/>
  <c r="E29" i="14" s="1"/>
  <c r="B30"/>
  <c r="C29"/>
  <c r="C32"/>
  <c r="B194" i="13" l="1"/>
  <c r="B32" i="14"/>
  <c r="B199" i="13"/>
  <c r="B29" i="14"/>
</calcChain>
</file>

<file path=xl/comments1.xml><?xml version="1.0" encoding="utf-8"?>
<comments xmlns="http://schemas.openxmlformats.org/spreadsheetml/2006/main">
  <authors>
    <author/>
  </authors>
  <commentList>
    <comment ref="A69" authorId="0">
      <text>
        <r>
          <rPr>
            <sz val="10"/>
            <rFont val="Arial"/>
          </rPr>
          <t>Pflegeversicherung hier nur eintragen, soweit die Beträge nicht bereits im Nettoeinkommen Zeile 64 berücksichtigt sind.</t>
        </r>
      </text>
    </comment>
    <comment ref="A74" authorId="0">
      <text>
        <r>
          <rPr>
            <sz val="10"/>
            <rFont val="Arial"/>
          </rPr>
          <t>Aufwendungen für angemessene Versicherungen, die die Altersvorsorge der Mitglieder der BG sichern, die von der gesetzlichen Rentenversicherung befreit sind. Hierzu gehören z. B. private Lebens- und Rentenversicherungen.
Beiträge zur privaten Altersvorsorge sind auf Ihre Angemessenheit zu prüfen. Sachgerecht ist dabei ein Vergleich mit den Beiträgen, die bei bestehender Rentenversicherungspflicht zu zahlen wären. Für die Berechnung des angemessenen Beitrages ist von dem vollständigen Beitrag zur gesetzlichen Rentenversicherung auszugehen (zurzeit 18,7 Prozent); der Mindestbeitrag in der gesetzlichen RV von aktuell 84,15 € ist in jedem Fall (auch bei Einnahmen unter 450,00 €) anzuerkennen.
Angemessene Beiträge zu einer privaten Altersvorsorge sind insbesondere auch vom Einkommen aus selbständiger Tätigkeit abzusetzen, wenn für die selbständig erwerbstätige Person keine Versicherungspflicht in der gesetzlichen RV besteht.
Beiträge zu einer Zusatzversorgungskasse sind hier ebenfalls absetzbar.</t>
        </r>
      </text>
    </comment>
    <comment ref="A75" authorId="0">
      <text>
        <r>
          <rPr>
            <sz val="10"/>
            <color rgb="FF000000"/>
            <rFont val="Arial"/>
            <family val="2"/>
          </rPr>
          <t>Bei einer 5-Tage-Woche sind 21 Arbeitstage normal</t>
        </r>
      </text>
    </comment>
    <comment ref="A77" authorId="0">
      <text>
        <r>
          <rPr>
            <sz val="10"/>
            <color rgb="FF000000"/>
            <rFont val="Arial"/>
            <family val="2"/>
          </rPr>
          <t xml:space="preserve">einfache Wegstrecke in km
</t>
        </r>
      </text>
    </comment>
    <comment ref="A78" authorId="0">
      <text>
        <r>
          <rPr>
            <b/>
            <sz val="9"/>
            <color rgb="FF000000"/>
            <rFont val="Tahoma"/>
            <family val="2"/>
          </rPr>
          <t xml:space="preserve">Kfz.-Haftpflicht
Berufshaftpflicht etc.
</t>
        </r>
      </text>
    </comment>
    <comment ref="A79" authorId="0">
      <text>
        <r>
          <rPr>
            <b/>
            <sz val="9"/>
            <color rgb="FF000000"/>
            <rFont val="Tahoma"/>
            <family val="2"/>
          </rPr>
          <t xml:space="preserve">z.B. Hausratversicherung,
private Haftpflicht
</t>
        </r>
        <r>
          <rPr>
            <sz val="9"/>
            <color rgb="FF000000"/>
            <rFont val="Tahoma"/>
            <family val="2"/>
          </rPr>
          <t xml:space="preserve">
</t>
        </r>
      </text>
    </comment>
    <comment ref="A100" authorId="0">
      <text>
        <r>
          <rPr>
            <b/>
            <sz val="9"/>
            <color rgb="FF000000"/>
            <rFont val="Tahoma"/>
            <family val="2"/>
          </rPr>
          <t xml:space="preserve">Der Unterhaltsvorschuss beträgt ab 2017 (in Klammer 2016) :
- 150 € (145 €) für Kinder bis fünf Jahre
- 201 € (194 €) für die 6- bis 11-Jährigen
- 268 €             für die 12- bis 17-Jährigen (ab 01.07.2017) 
</t>
        </r>
      </text>
    </comment>
  </commentList>
</comments>
</file>

<file path=xl/comments2.xml><?xml version="1.0" encoding="utf-8"?>
<comments xmlns="http://schemas.openxmlformats.org/spreadsheetml/2006/main">
  <authors>
    <author/>
  </authors>
  <commentList>
    <comment ref="A6" authorId="0">
      <text>
        <r>
          <rPr>
            <sz val="9"/>
            <color rgb="FF000000"/>
            <rFont val="Tahoma"/>
            <family val="2"/>
          </rPr>
          <t xml:space="preserve">Zur Bedarfsgemeinschaft gehört die Partnerin oder der Partner sowie die dem Haushalt angehörenden unverheirateten Kinder, wenn sie das 25. Lebensjahr noch nicht vollendet haben, soweit sie die Leistungen zur Sicherung ihres Lebensunterhalts nicht aus eigenem Einkommen oder Vermögen beschaffen können. Ferner gehören zur BG die im Haushalt lebenden Eltern oder ein Elternteil eines unverheirateten erwerbsfähigen Kindes, welches das 25. Lebensjahr noch nicht vollendet hat und der/die im Haushalt lebende Partner/in dieses Elternteils.
</t>
        </r>
        <r>
          <rPr>
            <b/>
            <sz val="9"/>
            <color rgb="FF000000"/>
            <rFont val="Tahoma"/>
            <family val="2"/>
          </rPr>
          <t>Die Anzahl wird automatisch ermittelt.</t>
        </r>
      </text>
    </comment>
    <comment ref="A7" authorId="0">
      <text>
        <r>
          <rPr>
            <sz val="9"/>
            <color rgb="FF000000"/>
            <rFont val="Tahoma"/>
            <family val="2"/>
          </rPr>
          <t xml:space="preserve">zur Ermittlung des Erwerbstätigenfreibetrages
</t>
        </r>
      </text>
    </comment>
    <comment ref="A35" authorId="0">
      <text>
        <r>
          <rPr>
            <sz val="9"/>
            <color rgb="FF000000"/>
            <rFont val="Tahoma"/>
            <family val="2"/>
          </rPr>
          <t>Die Anspruchsberechtigung entfällt, sofern ein Tatbestand des § 7 Abs. 4 bis 5 SGB II zutrifft, z.B. Altersrentner, Studenten</t>
        </r>
      </text>
    </comment>
    <comment ref="A37" authorId="0">
      <text>
        <r>
          <rPr>
            <sz val="9"/>
            <color rgb="FF000000"/>
            <rFont val="Tahoma"/>
            <family val="2"/>
          </rPr>
          <t xml:space="preserve">werdende Mütter erhalten ab der 13. Schwangerschaftswoche einen Zuschlag von 17 % ihres Regelbedarfes
</t>
        </r>
      </text>
    </comment>
    <comment ref="A46" authorId="0">
      <text>
        <r>
          <rPr>
            <sz val="9"/>
            <color rgb="FF000000"/>
            <rFont val="Tahoma"/>
            <family val="2"/>
          </rPr>
          <t xml:space="preserve">bei einem Kind unter 7 Jahren oder 2 oder 3 Kindern unter 16 Jahren = 36 % des RB, ansonsten 12 % für jedes minderjährige Kind, max. 60 % des RB
</t>
        </r>
      </text>
    </comment>
    <comment ref="A91" authorId="0">
      <text>
        <r>
          <rPr>
            <sz val="9"/>
            <color rgb="FF000000"/>
            <rFont val="Tahoma"/>
            <family val="2"/>
          </rPr>
          <t xml:space="preserve">für </t>
        </r>
        <r>
          <rPr>
            <b/>
            <sz val="9"/>
            <color rgb="FF000000"/>
            <rFont val="Tahoma"/>
            <family val="2"/>
          </rPr>
          <t>erwerbsfähige</t>
        </r>
        <r>
          <rPr>
            <sz val="9"/>
            <color rgb="FF000000"/>
            <rFont val="Tahoma"/>
            <family val="2"/>
          </rPr>
          <t xml:space="preserve"> behinderte Leistungsberechtigte, die Leistungen zur Teilhabe am Arbeitsleben erhalten, in Höhe von 35 % des maßgebenden Regelbedarfes
</t>
        </r>
      </text>
    </comment>
    <comment ref="A93" authorId="0">
      <text>
        <r>
          <rPr>
            <sz val="9"/>
            <color rgb="FF000000"/>
            <rFont val="Tahoma"/>
            <family val="2"/>
          </rPr>
          <t>mögliche Mehrbedarfe:
siehe Bedarfssätze</t>
        </r>
      </text>
    </comment>
    <comment ref="A99" authorId="0">
      <text>
        <r>
          <rPr>
            <sz val="9"/>
            <color rgb="FF000000"/>
            <rFont val="Tahoma"/>
            <family val="2"/>
          </rPr>
          <t>für erwerbsunfähige Sozialgeldbezieher ab 15 Jahren mit Schwerbehindertenausweis mit Merkzeichen G in Höhe von 17 % des RB.</t>
        </r>
      </text>
    </comment>
    <comment ref="A104" authorId="0">
      <text>
        <r>
          <rPr>
            <sz val="9"/>
            <color rgb="FF000000"/>
            <rFont val="Tahoma"/>
            <family val="2"/>
          </rPr>
          <t>z.B. für Garage oder Möblierung</t>
        </r>
      </text>
    </comment>
    <comment ref="A122" authorId="0">
      <text>
        <r>
          <rPr>
            <sz val="10"/>
            <color rgb="FF000000"/>
            <rFont val="Arial"/>
            <family val="2"/>
          </rPr>
          <t>Bei einer 5-Tage-Woche sind 19 Arbeitstage pro Monat anzuerkennen. Umfasst die Arbeitswoche mehr oder weniger Tage, sind die 19 Arbeitstage entsprechend zu erhöhen oder zu mindern:
6-Tage-Woche = 23 Tage
5-Tage-Woche = 19 Tage
4-Tage-Woche = 15 Tage
3-Tage-Woche = 11 Tage
2-Tage-Woche =   8 Tage
1-Tage-Woche =   4 Tage</t>
        </r>
      </text>
    </comment>
    <comment ref="A123" authorId="0">
      <text>
        <r>
          <rPr>
            <sz val="10"/>
            <color rgb="FF000000"/>
            <rFont val="Arial"/>
            <family val="2"/>
          </rPr>
          <t>Ist eine erwerbsfähige leistungsberechtigte Person im Rahmen einer Erwerbstätigkeit von ihrer Wohnung abwesend, ohne dass eine doppelte Haushaltsführung vorliegt, ist für Mehraufwendungen für Verpflegung für jeden Kalendertag, an dem die Person wegen dieser vorübergehenden Tätigkeit von ihrer Wohnung und dem Tätigkeitsmittelpunkt mindestens zwölf Stunden abwesend ist, ein Pauschbetrag in Höhe von 6 EUR abzusetzen.</t>
        </r>
      </text>
    </comment>
    <comment ref="A125" authorId="0">
      <text>
        <r>
          <rPr>
            <sz val="10"/>
            <color rgb="FF000000"/>
            <rFont val="Arial"/>
            <family val="2"/>
          </rPr>
          <t xml:space="preserve">
bei allen Formen der Erwerbstätigkeit sind bei Benutzung eines Kraftfahrzeugs für die Fahrt zwischen Wohnung und Arbeitsstätte 0,20 EUR für jeden Entfernungskilometer der kürzesten Straßenverbindung als Kilometerpauschale abzusetzen.
Es ist deshalb die Entfernung in km einzutragen.
</t>
        </r>
      </text>
    </comment>
    <comment ref="A128" authorId="0">
      <text>
        <r>
          <rPr>
            <sz val="9"/>
            <color rgb="FF000000"/>
            <rFont val="Tahoma"/>
            <family val="2"/>
          </rPr>
          <t xml:space="preserve">einschließlich Auslöse (Verpflegungsmehraufwendungen)
</t>
        </r>
        <r>
          <rPr>
            <b/>
            <sz val="9"/>
            <color rgb="FF000000"/>
            <rFont val="Tahoma"/>
            <family val="2"/>
          </rPr>
          <t xml:space="preserve">
ohne VWL AG-Anteil
</t>
        </r>
      </text>
    </comment>
    <comment ref="A129" authorId="0">
      <text>
        <r>
          <rPr>
            <sz val="9"/>
            <color rgb="FF000000"/>
            <rFont val="Tahoma"/>
            <family val="2"/>
          </rPr>
          <t xml:space="preserve">Vom Arbeitgeber bereitgestellte Vollverpflegung ist pro Arbeitstag pauschal in Höhe von 1 Prozent des nach § 20 maßgebenden monatlichen Regelbedarfs als Einkommen zu berücksichtigen. Wird Teilverpflegung bereitgestellt, entfallen auf das Frühstück ein Anteil von 20 Prozent und auf das Mittag- und Abendessen Anteile von je 40 Prozent (§ 2 Abs. 5 Alg II-V).
Für die Berücksichtigung als Einkommen ist die Bereitstellung der Verpflegung ausreichend. Es kommt nicht darauf an, ob die bereit-gestellte Verpflegung auch tatsächlich in Anspruch genommen wird.
</t>
        </r>
        <r>
          <rPr>
            <b/>
            <sz val="9"/>
            <color rgb="FF000000"/>
            <rFont val="Tahoma"/>
            <family val="2"/>
          </rPr>
          <t xml:space="preserve">Arbeitstage im Monat eingeben!
</t>
        </r>
      </text>
    </comment>
    <comment ref="A138" authorId="0">
      <text>
        <r>
          <rPr>
            <sz val="9"/>
            <color rgb="FF000000"/>
            <rFont val="Tahoma"/>
            <family val="2"/>
          </rPr>
          <t>Erhält eine leistungsberechtigte Person mindestens aus einer Tätigkeit steuerfreie Einnahmen nach § 3 Nummer 12, 26, 26a oder 26b EStG (z. B. Übungsleiter, Ausbilder, Erzieher, Betreuer, Tätigkeit im gemeinnützigen, mildtätigen oder kirchlichen Bereich) ist an Stelle der Beträge nach § 11b Absatz 1 Satz 1 Nr. 3 – 5 ein Betrag von bis zu 200 EUR abzusetzen. Höhere Aufwendungen können abgesetzt werden, wenn die Einnahmen einen Betrag von 200 EUR übersteigen und die Aufwendungen nachgewiesen werden.</t>
        </r>
      </text>
    </comment>
    <comment ref="A143" authorId="0">
      <text>
        <r>
          <rPr>
            <sz val="9"/>
            <color rgb="FF000000"/>
            <rFont val="Tahoma"/>
            <family val="2"/>
          </rPr>
          <t>Als notwendige Aufwendungen zur Erzielung, Sicherung und Erhaltung der Einnahmen können z.B. nachfolgend aufgeführte Ausgaben in dem unabwendbar notwendigen Umfang berücksichtigt werden:
•doppelte Haushaltsführung
•Beiträge zu Berufsverbänden und Gewerkschaften
•Aufwendungen des Arbeitnehmers für Arbeitsmaterial, Berufskleidung, Arbeitsmittel
•Fachliteratur
•Fortbildung
•IT/Telefon
•Reisekosten
•Umzugskosten
•Unfallkosten
Die Werbungskosten sind nur bei der Person abzusetzen, die das Erwerbseinkommen erzielt.</t>
        </r>
      </text>
    </comment>
    <comment ref="A166" authorId="0">
      <text>
        <r>
          <rPr>
            <sz val="9"/>
            <color rgb="FF000000"/>
            <rFont val="Tahoma"/>
            <family val="2"/>
          </rPr>
          <t>anstatt des ausgewiesenen Sachbezugwertes für Verpflegung ist der Wert gemäß § 4 Satz 2 Nr. 4 i. V. m. § 2 Abs. 5 Alg II-V anzusetzen</t>
        </r>
      </text>
    </comment>
    <comment ref="A180" authorId="0">
      <text>
        <r>
          <rPr>
            <sz val="9"/>
            <color rgb="FF000000"/>
            <rFont val="Tahoma"/>
            <family val="2"/>
          </rPr>
          <t>Die Einnahme ist in</t>
        </r>
        <r>
          <rPr>
            <b/>
            <sz val="9"/>
            <color rgb="FF000000"/>
            <rFont val="Tahoma"/>
            <family val="2"/>
          </rPr>
          <t xml:space="preserve"> voller</t>
        </r>
        <r>
          <rPr>
            <sz val="9"/>
            <color rgb="FF000000"/>
            <rFont val="Tahoma"/>
            <family val="2"/>
          </rPr>
          <t xml:space="preserve"> Höhe anzusetzen; Ausnahme: Kinderbetreuungszuschlag (BAföG) bzw. Kinderbetreuungskosten (BAB)</t>
        </r>
      </text>
    </comment>
    <comment ref="A181" authorId="0">
      <text>
        <r>
          <rPr>
            <sz val="9"/>
            <color rgb="FF000000"/>
            <rFont val="Tahoma"/>
            <family val="2"/>
          </rPr>
          <t>sofern nicht bereits bei Ausbildungsvergütung eingetragen</t>
        </r>
      </text>
    </comment>
    <comment ref="A186" authorId="0">
      <text>
        <r>
          <rPr>
            <sz val="9"/>
            <color rgb="FF000000"/>
            <rFont val="Tahoma"/>
            <family val="2"/>
          </rPr>
          <t>sofern nicht bereits bei Ausbildungsvergütung berücksichtigt</t>
        </r>
      </text>
    </comment>
    <comment ref="A192" authorId="0">
      <text>
        <r>
          <rPr>
            <sz val="9"/>
            <color rgb="FF000000"/>
            <rFont val="Tahoma"/>
            <family val="2"/>
          </rPr>
          <t>Das Kindergeld beträgt ab 2017 (in Klammer 2016):
- 192 € (190 €) für das erste und zweite Kind
- 198 € (196 €) für das dritte Kind
- 223 € (221 €) ab dem vierten Kind
Ein den Bedarf des Kindes übersteigender Betrag (z. B. durch das Zusammentreffen mit Unterhaltsleistungen und/oder weiterem eigenen Einkommen) ist dem Kindergeldberechtigten als Einkommen zuzuordnen.</t>
        </r>
      </text>
    </comment>
    <comment ref="A194" authorId="0">
      <text>
        <r>
          <rPr>
            <sz val="9"/>
            <color rgb="FF000000"/>
            <rFont val="Tahoma"/>
            <family val="2"/>
          </rPr>
          <t>Der Unterhaltsvorschuss beträgt ab 2017 (in Klammer 2016) :
- 150 € (145 €) für Kinder bis fünf Jahre
- 201 € (194 €) für die 6- bis 11-Jährigen
- 268 €            für die 12- bis 17-Jährigen</t>
        </r>
      </text>
    </comment>
    <comment ref="A203" authorId="0">
      <text>
        <r>
          <rPr>
            <sz val="9"/>
            <color rgb="FF000000"/>
            <rFont val="Tahoma"/>
            <family val="2"/>
          </rPr>
          <t>Vom Einkommen eines jeden volljährigen Mitglieds einer Bedarfsgemeinschaft werden für angemessene private Versicherungen pauschal 30 € monatlich abgesetzt. Die Pauschale kann auch vom Kindergeld des 18- bis 24-jährigen Kindes abgesetzt werden. Auch auf Nachweis können keine höheren Beiträge berücksichtigt werden.
Vom Einkommen minderjähriger Hilfebedürftiger ist die Pauschale nur abzusetzen, wenn diese eine entsprechende Versicherung abgeschlossen haben</t>
        </r>
      </text>
    </comment>
    <comment ref="A204" authorId="0">
      <text>
        <r>
          <rPr>
            <sz val="9"/>
            <color rgb="FF000000"/>
            <rFont val="Tahoma"/>
            <family val="2"/>
          </rPr>
          <t>Grundsätzlich sind die Beiträge für gesetzlich vorgeschriebene Versicherungen beim Einkommen der Person in Abzug zu bringen, die es erzielt; Versicherungsnehmer (bei gesetzlich vorgeschriebenen Versicherungen) kann auch eine andere Person in der Bedarfsgemeinschaft sein. Übersteigen die Absetzungsbeträge das Einkommen, können Restbeträge auch vom Einkommen anderer volljähriger Mitglieder der Bedarfsgemeinschaft abgesetzt werden</t>
        </r>
      </text>
    </comment>
    <comment ref="A205" authorId="0">
      <text>
        <r>
          <rPr>
            <sz val="9"/>
            <color rgb="FF000000"/>
            <rFont val="Tahoma"/>
            <family val="2"/>
          </rPr>
          <t xml:space="preserve">Aufwendungen für angemessene Versicherungen, die die Altersvorsorge der Mitglieder der BG sichern, </t>
        </r>
        <r>
          <rPr>
            <b/>
            <sz val="9"/>
            <color rgb="FF000000"/>
            <rFont val="Tahoma"/>
            <family val="2"/>
          </rPr>
          <t>die von der gesetzlichen Rentenversicherung befreit sind</t>
        </r>
        <r>
          <rPr>
            <sz val="9"/>
            <color rgb="FF000000"/>
            <rFont val="Tahoma"/>
            <family val="2"/>
          </rPr>
          <t xml:space="preserve">. Hierzu gehören z. B. private Lebens- und Rentenversicherungen.
Beiträge zur privaten Altersvorsorge sind auf Ihre Angemessenheit zu prüfen. Sachgerecht ist dabei ein Vergleich mit den Beiträgen, die bei bestehender Rentenversicherungspflicht zu zahlen wären. Für die Berechnung des angemessenen Beitrages ist von dem vollständigen Beitrag zur gesetzlichen Rentenversicherung auszugehen (zurzeit 18,7 Prozent); der Mindestbeitrag in der gesetzlichen RV von aktuell 84,15 € ist in jedem Fall (auch bei Einnahmen unter 450,00 €) anzuerkennen.
Angemessene Beiträge zu einer privaten Altersvorsorge sind insbesondere auch vom Einkommen aus selbständiger Tätigkeit abzusetzen, wenn für die selbständig erwerbstätige Person keine Versicherungspflicht in der gesetzlichen RV besteht.
Beiträge zu einer Zusatzversorgungskasse sind hier ebenfalls absetzbar.
</t>
        </r>
      </text>
    </comment>
    <comment ref="A219" authorId="0">
      <text>
        <r>
          <rPr>
            <sz val="9"/>
            <color rgb="FF000000"/>
            <rFont val="Tahoma"/>
            <family val="2"/>
          </rPr>
          <t>Aufwendungen zur Erfüllung gesetzlicher Unterhaltsverpflichtungen stehen bis zu dem in einem Unterhaltstitel oder in einer notariell beurkundeten Unterhaltsvereinbarung festgelegten Betrag den Betroffenen nicht als bereites Einkommen zur Verfügung.</t>
        </r>
      </text>
    </comment>
    <comment ref="A260" authorId="0">
      <text>
        <r>
          <rPr>
            <sz val="9"/>
            <color rgb="FF000000"/>
            <rFont val="Tahoma"/>
            <family val="2"/>
          </rPr>
          <t xml:space="preserve">Bitte tragen Sie hier das Jahreseinkommen (brutto) ein. 
Einkünfte aus nichtselbstständiger Arbeit sind zum Beispiel : 
•Gehälter 
•Löhne
•Ausbildungsvergütung 
•Tantiemen 
•Weihnachts- und Urlaubsgeld
</t>
        </r>
      </text>
    </comment>
    <comment ref="A266" authorId="0">
      <text>
        <r>
          <rPr>
            <sz val="9"/>
            <color rgb="FF000000"/>
            <rFont val="Tahoma"/>
            <family val="2"/>
          </rPr>
          <t xml:space="preserve">Zu den Renten gehören insbesondere: 
• Renten aus der gesetzlichen Rentenversicherung, wie z.B. Altersrenten (Vollrente, vorgezogene Altersrente, Teilrente), Rente wegen Berufsunfähigkeit oder wegen Erwerbsunfähigkeit sowie die Hinterbliebenenrenten (insbesondere Witwen-/ Witwer- und Waisenrenten), 
• Renten aus privaten Versicherungen auf den Erlebens- oder Todesfall; hierzu zählen auch die privaten Berufsunfähigkeitsrenten und Rentenzahlungen aus privaten Unfallver­sicherungen, 
</t>
        </r>
      </text>
    </comment>
    <comment ref="A268" authorId="0">
      <text>
        <r>
          <rPr>
            <sz val="9"/>
            <color rgb="FF000000"/>
            <rFont val="Tahoma"/>
            <family val="2"/>
          </rPr>
          <t>ohne Kinderbetreuungszuschlag
bei AFBG nur Unterhaltsbeitrag</t>
        </r>
      </text>
    </comment>
    <comment ref="A272" authorId="0">
      <text>
        <r>
          <rPr>
            <sz val="9"/>
            <color rgb="FF000000"/>
            <rFont val="Tahoma"/>
            <family val="2"/>
          </rPr>
          <t>Zu den Steuern gehören die Einkommensteuer, die Lohnsteuer, der Solidaritätszuschlag, die Kapitalertragsteuer und die Kirchensteuer</t>
        </r>
      </text>
    </comment>
    <comment ref="A273" authorId="0">
      <text>
        <r>
          <rPr>
            <sz val="9"/>
            <color rgb="FF000000"/>
            <rFont val="Tahoma"/>
            <family val="2"/>
          </rPr>
          <t>gesetzlich oder privat</t>
        </r>
      </text>
    </comment>
    <comment ref="A280" authorId="0">
      <text>
        <r>
          <rPr>
            <sz val="9"/>
            <color rgb="FF000000"/>
            <rFont val="Tahoma"/>
            <family val="2"/>
          </rPr>
          <t xml:space="preserve">Für Dienstleistungen zur Betreuung eines zu Ihrem Haushalt rechnenden Kindes, welches das 14. Lebensjahr noch nicht vollendet hat oder wegen einer vor Vollendung des 25. Lebensjahres eingetretenen körperlichen, geistigen oder seelischen Behinderung außerstande ist, sich selbst zu unterhalten, können Sie hier zwei Drittel der Aufwendungen, höchstens 4.000 Euro je Kind, geltend machen. 
Dies gilt nicht für Aufwendungen für Unterricht (z.B. Schulgeld), die Vermittlung besonderer Fähigkeiten (z.B. Musikunterricht) sowie für sportliche und andere Freizeitbetätigungen (z.B. Mitgliedschaft im Sportverein). 
Die Aufwendungen sind von den Einkünften desjenigen Elternteils abzuziehen, der sie getragen hat. Auch in den Fällen, in denen beide Elternteile Aufwendungen getragen haben, werden nur zwei Drittel dieser Aufwendungen, insgesamt je Kind und Jahr nur höchstens 4.000 Euro, berücksichtigt; die Aufwendungen sind dann je zur Hälfte bei beiden Elternteilen zu berücksichtigen, wenn die Eltern keine andere Aufteilung wählen. Diese Zuordnungsregelungen gelten für verheiratete und unverheiratete Eltern gleichermaßen. 
Kinderbetreuungskosten können von steuerpflichtigen Einkünften abgesetzt werden. Dazu gehören neben Einkünften aus nichtselbstständiger Tätigkeit und Einkünften aus Gewerbebetrieb oder selbstständiger Tätigkeit auch nach § 22 Nr. 1a EStG steuerpflichtige Unterhaltszahlungen sowie nach § 22 Nr. 1 EStG steuerpflichtige Leibrenten. Auch ein Abzug von Kinderbetreuungskosten von pauschal versteuertem Arbeitslohn (sogenannten Mini-Jobs) ist möglich. 
Kinderbetreuungskosten sind nur für eigene Kinder abziehbar, nicht dagegen für Kinder aus früheren Beziehungen des jetzigen Ehegatten oder Partners. 
Die Aufwendungen sind durch Vorlage einer Rechnung und die Zahlung auf das Konto des Erbringers der Leistung nachzuweisen; Barzahlung und ein Nachweis per Quittung reichen nicht aus.
</t>
        </r>
      </text>
    </comment>
  </commentList>
</comments>
</file>

<file path=xl/comments3.xml><?xml version="1.0" encoding="utf-8"?>
<comments xmlns="http://schemas.openxmlformats.org/spreadsheetml/2006/main">
  <authors>
    <author/>
  </authors>
  <commentList>
    <comment ref="A104" authorId="0">
      <text>
        <r>
          <rPr>
            <sz val="9"/>
            <color rgb="FF000000"/>
            <rFont val="Tahoma"/>
            <family val="2"/>
          </rPr>
          <t>z.B. für Garage oder Möblierung</t>
        </r>
      </text>
    </comment>
    <comment ref="A142" authorId="0">
      <text>
        <r>
          <rPr>
            <sz val="9"/>
            <color rgb="FF000000"/>
            <rFont val="Tahoma"/>
            <family val="2"/>
          </rPr>
          <t xml:space="preserve">Kosten der günstigsten Monatsfahrkarte bzw. tatsächliche nachgewiesene Fahrtkosten
</t>
        </r>
      </text>
    </comment>
    <comment ref="A178" authorId="0">
      <text>
        <r>
          <rPr>
            <sz val="9"/>
            <color rgb="FF000000"/>
            <rFont val="Tahoma"/>
            <family val="2"/>
          </rPr>
          <t>Die Einnahme ist in voller Höhe anzusetzen; Ausnahme: Kinderbetreuungszuschlag (BAföG) bzw. Kinderbetreuungskosten (BAB)</t>
        </r>
      </text>
    </comment>
  </commentList>
</comments>
</file>

<file path=xl/comments4.xml><?xml version="1.0" encoding="utf-8"?>
<comments xmlns="http://schemas.openxmlformats.org/spreadsheetml/2006/main">
  <authors>
    <author/>
  </authors>
  <commentList>
    <comment ref="A93" authorId="0">
      <text>
        <r>
          <rPr>
            <sz val="9"/>
            <color rgb="FF000000"/>
            <rFont val="Tahoma"/>
            <family val="2"/>
          </rPr>
          <t>mögliche Mehrbedarfe:
siehe Bedarfssätze</t>
        </r>
      </text>
    </comment>
    <comment ref="A104" authorId="0">
      <text>
        <r>
          <rPr>
            <sz val="9"/>
            <color rgb="FF000000"/>
            <rFont val="Tahoma"/>
            <family val="2"/>
          </rPr>
          <t>z.B. für Garage oder Möblierung</t>
        </r>
      </text>
    </comment>
    <comment ref="A142" authorId="0">
      <text>
        <r>
          <rPr>
            <sz val="9"/>
            <color rgb="FF000000"/>
            <rFont val="Tahoma"/>
            <family val="2"/>
          </rPr>
          <t xml:space="preserve">Kosten der günstigsten Monatsfahrkarte bzw. tatsächliche nachgewiesene Fahrtkosten
</t>
        </r>
      </text>
    </comment>
    <comment ref="A178" authorId="0">
      <text>
        <r>
          <rPr>
            <sz val="9"/>
            <color rgb="FF000000"/>
            <rFont val="Tahoma"/>
            <family val="2"/>
          </rPr>
          <t>Die Einnahme ist in</t>
        </r>
        <r>
          <rPr>
            <b/>
            <sz val="9"/>
            <color rgb="FF000000"/>
            <rFont val="Tahoma"/>
            <family val="2"/>
          </rPr>
          <t xml:space="preserve"> voller</t>
        </r>
        <r>
          <rPr>
            <sz val="9"/>
            <color rgb="FF000000"/>
            <rFont val="Tahoma"/>
            <family val="2"/>
          </rPr>
          <t xml:space="preserve"> Höhe anzusetzen; Ausnahme: Kinderbetreuungszuschlag (BAföG) bzw. Kinderbetreuungskosten (BAB)</t>
        </r>
      </text>
    </comment>
  </commentList>
</comments>
</file>

<file path=xl/sharedStrings.xml><?xml version="1.0" encoding="utf-8"?>
<sst xmlns="http://schemas.openxmlformats.org/spreadsheetml/2006/main" count="9389" uniqueCount="2454">
  <si>
    <r>
      <rPr>
        <sz val="28"/>
        <color rgb="FFFF0000"/>
        <rFont val="Arial"/>
      </rPr>
      <t>Wichtig!</t>
    </r>
    <r>
      <rPr>
        <sz val="10"/>
        <rFont val="Arial"/>
      </rPr>
      <t xml:space="preserve"> </t>
    </r>
    <r>
      <rPr>
        <sz val="14"/>
        <rFont val="Arial"/>
      </rPr>
      <t>- Erläuterungen zur Benutzung des Rechners</t>
    </r>
  </si>
  <si>
    <r>
      <rPr>
        <sz val="10"/>
        <rFont val="Arial"/>
        <family val="2"/>
      </rPr>
      <t xml:space="preserve">Der Rechner funktioniert </t>
    </r>
    <r>
      <rPr>
        <b/>
        <u/>
        <sz val="10"/>
        <rFont val="Arial"/>
      </rPr>
      <t>nur</t>
    </r>
    <r>
      <rPr>
        <sz val="10"/>
        <rFont val="Arial"/>
      </rPr>
      <t xml:space="preserve"> mit recht aktuellem </t>
    </r>
    <r>
      <rPr>
        <b/>
        <sz val="11"/>
        <rFont val="Arial"/>
      </rPr>
      <t>LibreOffice</t>
    </r>
    <r>
      <rPr>
        <sz val="10"/>
        <rFont val="Arial"/>
      </rPr>
      <t xml:space="preserve"> nicht also mit OpenOffice.</t>
    </r>
  </si>
  <si>
    <t>Bitte den Rechner nach dem Download zunächst einmal speichern.</t>
  </si>
  <si>
    <r>
      <rPr>
        <sz val="10"/>
        <rFont val="Arial"/>
        <family val="2"/>
      </rPr>
      <t xml:space="preserve">Dann, bevor mit der "Arbeit" mit dem Rechner begonnen wird, den Rechner bitte erneut
</t>
    </r>
    <r>
      <rPr>
        <b/>
        <sz val="14"/>
        <rFont val="Arial"/>
      </rPr>
      <t>unter einem anderen Namen</t>
    </r>
    <r>
      <rPr>
        <sz val="10"/>
        <rFont val="Arial"/>
      </rPr>
      <t xml:space="preserve"> speichern. Dies ist sehr wichtig, da bei der
Arbeit mit dem Rechner manchmal Formeln überschrieben werden. Dies ist für ein
korrektes Rechenergebnis wichtig, aber wenn etwas überschrieben wurde, dann ist es
nun mal weg. Das heißt, wenn man mit diesem Rechner dann eine neue Rechnung
machen möchte, dann könnte das zu falschen Ergebnissen führen. Daher</t>
    </r>
  </si>
  <si>
    <t>Für jede neue Rechnung, die unter Pkt. 2 gespeicherte Version erneut öffnen und wie
in Pkt. 3 beschrieben unter einem neuen Namen speichern.</t>
  </si>
  <si>
    <t>Und zum Schluss noch eine Bitte. Sollte es doch noch zu Fehlfunktionen kommen,
bitte meldet die, am Besten gleich die Datei mit dem Fehler beifügen. Nur so können
wir den Rechner weiter verbessern.</t>
  </si>
  <si>
    <t>Und jetzt viel Erfolg mit dem Rechner</t>
  </si>
  <si>
    <r>
      <rPr>
        <b/>
        <sz val="26"/>
        <color rgb="FFFF0000"/>
        <rFont val="Arial"/>
        <family val="2"/>
      </rPr>
      <t xml:space="preserve">                                   </t>
    </r>
    <r>
      <rPr>
        <b/>
        <u/>
        <sz val="26"/>
        <color rgb="FFFF0000"/>
        <rFont val="Arial"/>
      </rPr>
      <t xml:space="preserve"> Wichtiger Hinweis:
</t>
    </r>
    <r>
      <rPr>
        <sz val="14"/>
        <color rgb="FFFF0000"/>
        <rFont val="Arial"/>
      </rPr>
      <t>Bitte</t>
    </r>
    <r>
      <rPr>
        <sz val="26"/>
        <color rgb="FFFF0000"/>
        <rFont val="Arial"/>
      </rPr>
      <t xml:space="preserve"> </t>
    </r>
    <r>
      <rPr>
        <sz val="14"/>
        <color rgb="FFFF0000"/>
        <rFont val="Arial"/>
      </rPr>
      <t>diese Version des Rechners nur mit LibreOffice nutzen, bei Nutzung mit OpenOffice kommt es  leider zu etlichen Fehlfunktionen.</t>
    </r>
  </si>
  <si>
    <t>ALG II - Berechnungsbogen</t>
  </si>
  <si>
    <r>
      <rPr>
        <b/>
        <sz val="10"/>
        <color rgb="FFFF0000"/>
        <rFont val="Arial"/>
      </rPr>
      <t xml:space="preserve">Bitte beachten, der Rechner liefert halbwegs zuverlässige Ergebnisse nur für Zeiträume </t>
    </r>
    <r>
      <rPr>
        <b/>
        <sz val="12"/>
        <color rgb="FFFF0000"/>
        <rFont val="Arial"/>
      </rPr>
      <t xml:space="preserve">ab 1.8.2016.
</t>
    </r>
    <r>
      <rPr>
        <b/>
        <sz val="10"/>
        <color rgb="FFFF0000"/>
        <rFont val="Arial"/>
      </rPr>
      <t>Bei früheren Zeiträumen kann es zu allerdings kleinen Fehlern bei der Einkommensberechnung und
beim Kindergeld kommen.</t>
    </r>
  </si>
  <si>
    <t>1 = Alleinstehend</t>
  </si>
  <si>
    <t>2 = zwei volljährige Partner</t>
  </si>
  <si>
    <t>3 = ein Partner minderjährig</t>
  </si>
  <si>
    <t>4 = Minderjährig nicht bei Eltern</t>
  </si>
  <si>
    <t>Es können nur in den
Gelb hinterlegten Felder
Einträge gemacht werden</t>
  </si>
  <si>
    <t>Bitte den Beginn des zu berechnenden Bewilligungszeitraums eingeben, z.B. 1.1.2017</t>
  </si>
  <si>
    <t>Name des Antragstellers</t>
  </si>
  <si>
    <r>
      <rPr>
        <b/>
        <sz val="10"/>
        <color rgb="FF000000"/>
        <rFont val="Arial"/>
      </rPr>
      <t xml:space="preserve">Anzahl Personen in der BG </t>
    </r>
    <r>
      <rPr>
        <sz val="10"/>
        <color rgb="FF000000"/>
        <rFont val="Arial"/>
      </rPr>
      <t>(wird automatisch ermittelt)</t>
    </r>
  </si>
  <si>
    <t>Personen</t>
  </si>
  <si>
    <t>Berechnungsmonat</t>
  </si>
  <si>
    <r>
      <rPr>
        <sz val="10"/>
        <rFont val="Arial"/>
      </rPr>
      <t xml:space="preserve">Anzahl Personen, die im Haushalt wohnen, </t>
    </r>
    <r>
      <rPr>
        <b/>
        <u/>
        <sz val="11"/>
        <color rgb="FFFF0000"/>
        <rFont val="Arial"/>
      </rPr>
      <t>aber nicht zur BG gehören</t>
    </r>
    <r>
      <rPr>
        <u/>
        <sz val="10"/>
        <rFont val="Arial"/>
      </rPr>
      <t>,</t>
    </r>
    <r>
      <rPr>
        <sz val="10"/>
        <rFont val="Arial"/>
      </rPr>
      <t xml:space="preserve"> z.B. Großeltern, Kinder älter 25, Untermieter</t>
    </r>
  </si>
  <si>
    <t>ab Spalte F Kinder in der BG aufführen</t>
  </si>
  <si>
    <t>Leistungsberechtigte Geburtsdaten</t>
  </si>
  <si>
    <t>Lebensalter zu Beginn des Bewilligungszeitraums</t>
  </si>
  <si>
    <t>erwerbsfähig</t>
  </si>
  <si>
    <t>Regelleistung/Sozialgeld</t>
  </si>
  <si>
    <r>
      <rPr>
        <b/>
        <sz val="10"/>
        <color rgb="FF000000"/>
        <rFont val="Arial"/>
      </rPr>
      <t xml:space="preserve">Minderjähriges </t>
    </r>
    <r>
      <rPr>
        <sz val="10"/>
        <color rgb="FF000000"/>
        <rFont val="Arial"/>
      </rPr>
      <t>Kind außerhalb der BG?</t>
    </r>
  </si>
  <si>
    <t>Nein</t>
  </si>
  <si>
    <t>ja</t>
  </si>
  <si>
    <t>Alleinerziehend?</t>
  </si>
  <si>
    <t>Mehrbedarf Warmwasser Dezentral</t>
  </si>
  <si>
    <t>Mehrbedarf Warmwasser (Höhe) Pauschale</t>
  </si>
  <si>
    <t>Mehrbedarf Warmwasser (Höhe) Einzelrechnung</t>
  </si>
  <si>
    <t>Dezentrale Wasserversorgung Abrechnung</t>
  </si>
  <si>
    <t>Mehrbedarf Ernährung (Bedarfshöhe)</t>
  </si>
  <si>
    <r>
      <rPr>
        <sz val="10"/>
        <rFont val="Arial"/>
      </rPr>
      <t xml:space="preserve">Mehrbedarf Schwangerschaft  </t>
    </r>
    <r>
      <rPr>
        <b/>
        <sz val="10"/>
        <color rgb="FF000000"/>
        <rFont val="Arial"/>
      </rPr>
      <t>Entbindungstermin eingeben</t>
    </r>
  </si>
  <si>
    <t>Mehrbedarf Schwangerschaft (Bedarfshöhe)</t>
  </si>
  <si>
    <r>
      <rPr>
        <b/>
        <sz val="10"/>
        <color rgb="FF000000"/>
        <rFont val="Arial"/>
      </rPr>
      <t>erwerbsunfähig</t>
    </r>
    <r>
      <rPr>
        <sz val="10"/>
        <color rgb="FF000000"/>
        <rFont val="Arial"/>
      </rPr>
      <t>, Kennzeichen G</t>
    </r>
  </si>
  <si>
    <t>Mehrbedarf für Kennzeichen G</t>
  </si>
  <si>
    <t>Mehrbedarf Teilhabe Arbeitsleben  Ja/Nein</t>
  </si>
  <si>
    <t>Mehrbedarf Teilhabe Arbeitsl. (Bedarfshöhe)</t>
  </si>
  <si>
    <t>Mehrbedarf Summe</t>
  </si>
  <si>
    <t>Gesamtbedarf (nur Regelbedarf)</t>
  </si>
  <si>
    <t>unabweisbarer, laufender, besonderer Bedarf</t>
  </si>
  <si>
    <t>Bedarfsanteile Kosten der Unterkunft</t>
  </si>
  <si>
    <t>Kaltmiete</t>
  </si>
  <si>
    <t>Bundesland</t>
  </si>
  <si>
    <t>Hessen</t>
  </si>
  <si>
    <t>Wohnort</t>
  </si>
  <si>
    <t>Frankfurt am Main</t>
  </si>
  <si>
    <t>Mietstufe</t>
  </si>
  <si>
    <t>Oder Mietstufe links direkt eingeben</t>
  </si>
  <si>
    <t>Wohnverhältnis</t>
  </si>
  <si>
    <t>Miete</t>
  </si>
  <si>
    <t>Nebenkosten</t>
  </si>
  <si>
    <t>Heizkosten</t>
  </si>
  <si>
    <r>
      <rPr>
        <sz val="10"/>
        <rFont val="Arial"/>
      </rPr>
      <t xml:space="preserve">Warmwasser durch Boiler oder Gasflasche -  </t>
    </r>
    <r>
      <rPr>
        <b/>
        <sz val="10"/>
        <color rgb="FFFF0000"/>
        <rFont val="Arial"/>
      </rPr>
      <t>Pauschale</t>
    </r>
  </si>
  <si>
    <t>Gesamtbedarf KdU (anerkannt)</t>
  </si>
  <si>
    <t>Gesamtbedarfssumme</t>
  </si>
  <si>
    <t>Einkommensanteile</t>
  </si>
  <si>
    <t>Summe</t>
  </si>
  <si>
    <t>Erwerbseinkommen (Lohn/Gehalt) Brutto</t>
  </si>
  <si>
    <t>Erwerbseinkommen (Lohn/Gehalt) Netto</t>
  </si>
  <si>
    <t>Einkommen (Gewinn) aus Selbständigkeit</t>
  </si>
  <si>
    <t>Absetzung (Max. 30 € Versicherungspauschale)</t>
  </si>
  <si>
    <t>Absetzung gezahlte Einkommensteueuer</t>
  </si>
  <si>
    <r>
      <rPr>
        <b/>
        <sz val="10"/>
        <color rgb="FFFF0000"/>
        <rFont val="Arial"/>
        <family val="2"/>
      </rPr>
      <t>Eintragungen nur, wenn nicht bereits in Zeile 64 enthalten</t>
    </r>
    <r>
      <rPr>
        <b/>
        <sz val="10"/>
        <color rgb="FFFF0000"/>
        <rFont val="Calibri"/>
        <family val="2"/>
      </rPr>
      <t>↓↓</t>
    </r>
  </si>
  <si>
    <r>
      <rPr>
        <sz val="10"/>
        <rFont val="Arial"/>
      </rPr>
      <t>Absetzung Krankenversicherung</t>
    </r>
    <r>
      <rPr>
        <b/>
        <sz val="10"/>
        <color rgb="FF000000"/>
        <rFont val="Arial"/>
      </rPr>
      <t xml:space="preserve"> Pflichtbeiträge</t>
    </r>
  </si>
  <si>
    <t>Sind das vorstehend Beiträge für eine private KV?</t>
  </si>
  <si>
    <r>
      <rPr>
        <sz val="10"/>
        <rFont val="Arial"/>
      </rPr>
      <t xml:space="preserve">Absetzung Pflegeversicherung </t>
    </r>
    <r>
      <rPr>
        <b/>
        <sz val="10"/>
        <color rgb="FF000000"/>
        <rFont val="Arial"/>
      </rPr>
      <t>Pflichtbeiträge</t>
    </r>
  </si>
  <si>
    <r>
      <rPr>
        <sz val="10"/>
        <rFont val="Arial"/>
      </rPr>
      <t xml:space="preserve">Absetzung Rentenversicherung </t>
    </r>
    <r>
      <rPr>
        <b/>
        <sz val="10"/>
        <color rgb="FF000000"/>
        <rFont val="Arial"/>
      </rPr>
      <t>Pflichtbeiträge</t>
    </r>
  </si>
  <si>
    <t>Beiträge zur privaten Altersvorsorge; ZVK-Beitrag</t>
  </si>
  <si>
    <t xml:space="preserve">Arbeitstage im Monat </t>
  </si>
  <si>
    <t>Anzahl Arbeitstage mit mind. 12stündiger Abwesenheit</t>
  </si>
  <si>
    <t>Entfernung Wohnung-Arbeitsplatz</t>
  </si>
  <si>
    <r>
      <rPr>
        <sz val="10"/>
        <rFont val="Arial"/>
      </rPr>
      <t xml:space="preserve">Absetzung private </t>
    </r>
    <r>
      <rPr>
        <b/>
        <sz val="11"/>
        <color rgb="FF000000"/>
        <rFont val="Arial"/>
      </rPr>
      <t>Pflicht</t>
    </r>
    <r>
      <rPr>
        <sz val="10"/>
        <rFont val="Arial"/>
      </rPr>
      <t xml:space="preserve">versicherungen
</t>
    </r>
    <r>
      <rPr>
        <b/>
        <sz val="11"/>
        <color rgb="FF000000"/>
        <rFont val="Arial"/>
      </rPr>
      <t>hier bitte die Jahresbeiträge angeben</t>
    </r>
  </si>
  <si>
    <r>
      <rPr>
        <sz val="10"/>
        <rFont val="Arial"/>
      </rPr>
      <t xml:space="preserve">Absetzung sonstige Versicherungen
</t>
    </r>
    <r>
      <rPr>
        <b/>
        <sz val="11"/>
        <color rgb="FF000000"/>
        <rFont val="Arial"/>
      </rPr>
      <t>hier bitte die im Berechnungsmonat tatsächlich gezahlten Beiträge angeben</t>
    </r>
  </si>
  <si>
    <t>Absetzung Beiträge (Gewerkschaft)</t>
  </si>
  <si>
    <t>Absetzung (titulierte Unterhaltsverpflichtung)</t>
  </si>
  <si>
    <t>Absetzung (Arbeitsmittel)</t>
  </si>
  <si>
    <t>Absetzung Sonstige Werbungskosten (keine Pauschale)</t>
  </si>
  <si>
    <t>Wurde ein Riestervertrag abgeschlossen?</t>
  </si>
  <si>
    <t>Zusatzbeitrag Krankenversicherung</t>
  </si>
  <si>
    <t>Privilegiertes Einkommen ( Übungsleiter)</t>
  </si>
  <si>
    <t>Taschengeld aus Freiwilligendiensten</t>
  </si>
  <si>
    <t>Arbeitslosengeld I</t>
  </si>
  <si>
    <t>Kindergeld (Mittelwert für alle Kinder in der BG)</t>
  </si>
  <si>
    <t xml:space="preserve">Unterhalt </t>
  </si>
  <si>
    <r>
      <rPr>
        <sz val="10"/>
        <rFont val="Arial"/>
        <family val="2"/>
      </rPr>
      <t>Unterhaltsvorschuss</t>
    </r>
    <r>
      <rPr>
        <sz val="10"/>
        <color rgb="FFFF0000"/>
        <rFont val="Arial"/>
      </rPr>
      <t xml:space="preserve"> (ggf korrigieren)</t>
    </r>
  </si>
  <si>
    <t>Wohngeld/Mischhaushalt</t>
  </si>
  <si>
    <t>BAföG/BAB für Mitglied der Bedarfsgemeinschaft</t>
  </si>
  <si>
    <t>Altersrente,  wenn diese bezogen wird</t>
  </si>
  <si>
    <t>Altersrente</t>
  </si>
  <si>
    <t>Leistungen der Renten- und Krankenvers. (siehe Liste)</t>
  </si>
  <si>
    <t xml:space="preserve">Sonstiges Einkommen </t>
  </si>
  <si>
    <t>Vermietung / Mieteinnahmen</t>
  </si>
  <si>
    <t>Sonstiges Einkommen (Kinderzuschlag,
Betreuungsgeld für Kinder bis 3 Jahre, etc.)</t>
  </si>
  <si>
    <t>Elterngeld</t>
  </si>
  <si>
    <t>durchschnittl. mtl. Einkommen letzte 12 Monate 
(s. Elterngeldbescheid)</t>
  </si>
  <si>
    <t>Verlängerungsoption Elterngeld genutzt?</t>
  </si>
  <si>
    <t>Freibetrag auf das Elterngeld</t>
  </si>
  <si>
    <t>Überhang Kindergeld</t>
  </si>
  <si>
    <t>Gesamt Brutto Einkommen</t>
  </si>
  <si>
    <t>Gesamt Netto Einkommen</t>
  </si>
  <si>
    <t>Summe sonstiges Einkommen ohne KG Überhang</t>
  </si>
  <si>
    <t>Grundfreibetrag Erwerbseinkommen</t>
  </si>
  <si>
    <t>Grundfreibetrag Ehrenamt/Übungsleiter</t>
  </si>
  <si>
    <t xml:space="preserve">Grundfreibetrag (GFB) </t>
  </si>
  <si>
    <t>In 86 zu berücksichtigendes Einkommen</t>
  </si>
  <si>
    <t>Berechnung des Freibetrags § 11b Abs. 3 Nr. 1 SGB II</t>
  </si>
  <si>
    <t>Abfrage ob € 1500 Maximaleinkommen wegen Kind bei Freibetragsberechnung berücksichtigt wird</t>
  </si>
  <si>
    <t>Berechnung des Freibetrags § 11b Abs. 3 Nr. 2 SGB II</t>
  </si>
  <si>
    <t>Einkommenbereinigung § 11b Abs. 1 Nr. 1 &amp; 2 SGB II</t>
  </si>
  <si>
    <t>Pflichtversicherung § 11b Abs. 1 Nr. 3 SGB II / Monat</t>
  </si>
  <si>
    <t xml:space="preserve">Sonst. Versicherung § 11b Abs. 1 Nr. 3 SGB II </t>
  </si>
  <si>
    <t>Riesterrente § 11b Abs. 1 Nr. 4 SGB II</t>
  </si>
  <si>
    <t>Bereinigung § 11b Abs. 1 Nr. 5 SGB II</t>
  </si>
  <si>
    <t>Gezahlter Unterhalt § 11b Abs. 1 Nr. 7 SGB II</t>
  </si>
  <si>
    <t>Bereinigung § 11b Abs. 1 Nr. 8 SGB II</t>
  </si>
  <si>
    <t>Summe § 11b Abs. 1 SGB II komplett</t>
  </si>
  <si>
    <t>Summe § 11b Abs. 1 Nr. 3-5 SGB II</t>
  </si>
  <si>
    <t>Dto, aber ohne Pflichtversicherungen</t>
  </si>
  <si>
    <t>Ungedeckte Steuern, Pflichtversicherungen, Unterhalt</t>
  </si>
  <si>
    <t>Gesamtbereinigung § 11b Abs. 1 SGB II</t>
  </si>
  <si>
    <t>Absetzungen + Freibeträge gem. § 11b SGB II</t>
  </si>
  <si>
    <t>Anzurechnende Gesamteinkünfte</t>
  </si>
  <si>
    <t>Anzurechnendes Einkommen - Bedarf</t>
  </si>
  <si>
    <t>Bedarf</t>
  </si>
  <si>
    <t>Freibetrag nach § 11b Abs. 3 SGB II, der bei 
vorläufigem Bescheid u.U. unberücksichtigt bleibt</t>
  </si>
  <si>
    <t xml:space="preserve">anzurechnende Gesamteinkünfte </t>
  </si>
  <si>
    <t>Möglicher Anspruch auf Arbeitslosengeld II                       in Höhe von</t>
  </si>
  <si>
    <t>Berechnung anzeigen</t>
  </si>
  <si>
    <t>Weitere Eingaben erforderlich</t>
  </si>
  <si>
    <t>Weitere Angaben gemacht?</t>
  </si>
  <si>
    <t>Möglicher Anspruch auf Kinderzuschlag                       in Höhe von</t>
  </si>
  <si>
    <t>Möglicher Anspruch auf Zuschuss zur                       Krankenversicherung in Höhe von</t>
  </si>
  <si>
    <t>Aktuelle Version überarbeitet und an gesetzliche Neuerungen angepasst von Koelsch vom ALG-Ratgeber.de</t>
  </si>
  <si>
    <t>Notwendige Daten zur Berechnung des SGB II Anspruchs</t>
  </si>
  <si>
    <t>Antragsteller:</t>
  </si>
  <si>
    <t>gültig ab:</t>
  </si>
  <si>
    <t>Bedarfsgemeinschaft</t>
  </si>
  <si>
    <t>gesamt</t>
  </si>
  <si>
    <t>Antragsteller</t>
  </si>
  <si>
    <t>Partner(in)</t>
  </si>
  <si>
    <t>Kind 1</t>
  </si>
  <si>
    <t>Kind 2</t>
  </si>
  <si>
    <t>Kind 3</t>
  </si>
  <si>
    <t>Kind 4</t>
  </si>
  <si>
    <t>Kind 5</t>
  </si>
  <si>
    <r>
      <rPr>
        <sz val="12"/>
        <rFont val="Arial Narrow"/>
        <family val="2"/>
      </rPr>
      <t>Anzahl der weiteren Personen im Haushalt</t>
    </r>
    <r>
      <rPr>
        <sz val="9"/>
        <rFont val="Arial Narrow"/>
        <family val="2"/>
      </rPr>
      <t xml:space="preserve"> (z.B. Großeltern)</t>
    </r>
  </si>
  <si>
    <t xml:space="preserve">Bedarfsgemeinschaft besteht aus    </t>
  </si>
  <si>
    <r>
      <rPr>
        <sz val="11.5"/>
        <rFont val="Arial Narrow"/>
        <family val="2"/>
      </rPr>
      <t xml:space="preserve">minderjähriges Kind </t>
    </r>
    <r>
      <rPr>
        <b/>
        <sz val="11.5"/>
        <rFont val="Arial Narrow"/>
        <family val="2"/>
      </rPr>
      <t>außerhalb der BG</t>
    </r>
    <r>
      <rPr>
        <sz val="11.5"/>
        <rFont val="Arial Narrow"/>
        <family val="2"/>
      </rPr>
      <t xml:space="preserve"> vorhanden</t>
    </r>
  </si>
  <si>
    <t>Geburtsdatum</t>
  </si>
  <si>
    <t>Mehrbedarf</t>
  </si>
  <si>
    <t>Schwangerschaft</t>
  </si>
  <si>
    <t>alleinerziehend</t>
  </si>
  <si>
    <t xml:space="preserve">1 Kind u 7 </t>
  </si>
  <si>
    <t xml:space="preserve">1 Kind 7 bis 17 </t>
  </si>
  <si>
    <t xml:space="preserve">2 Kinder u 16 </t>
  </si>
  <si>
    <t xml:space="preserve">2 Kinder 16 bis 17 </t>
  </si>
  <si>
    <t xml:space="preserve">1 Kind ab 7 + 1 Kind 16 bis 17 </t>
  </si>
  <si>
    <t>3 Kinder bis 17</t>
  </si>
  <si>
    <t xml:space="preserve">4 Kinder bis 17 </t>
  </si>
  <si>
    <t>5 Kinder bis 17</t>
  </si>
  <si>
    <t>behinderter Mensch, Leistungen zur Teilhabe</t>
  </si>
  <si>
    <t>kostenaufwändige Ernährung</t>
  </si>
  <si>
    <t>Liste Ernährung</t>
  </si>
  <si>
    <r>
      <rPr>
        <sz val="12"/>
        <rFont val="Arial Narrow"/>
        <family val="2"/>
      </rPr>
      <t xml:space="preserve">Warmwasser </t>
    </r>
    <r>
      <rPr>
        <b/>
        <sz val="12"/>
        <rFont val="Arial Narrow"/>
        <family val="2"/>
      </rPr>
      <t>dezentral</t>
    </r>
    <r>
      <rPr>
        <sz val="12"/>
        <rFont val="Arial Narrow"/>
        <family val="2"/>
      </rPr>
      <t xml:space="preserve"> (z.B. Boiler)?</t>
    </r>
  </si>
  <si>
    <t>erwerbsunfähig, Merkzeichen G</t>
  </si>
  <si>
    <t>Unterkunftkosten</t>
  </si>
  <si>
    <t>Kaltmiete/Zinsbelastung</t>
  </si>
  <si>
    <t>weitere Kosten</t>
  </si>
  <si>
    <t>./. Kostenanteil für Haushaltsstrom (pauschal)</t>
  </si>
  <si>
    <t>Sonstiger Bedarf</t>
  </si>
  <si>
    <t>z.B. freiwilliger KV/PV-Beitrag bei Ablehnung</t>
  </si>
  <si>
    <t>Einkommen</t>
  </si>
  <si>
    <t>Einnahmen</t>
  </si>
  <si>
    <t>Einkommen aus Erwerbstätigkeit</t>
  </si>
  <si>
    <t>Arbeitstage im Monat (bei erwerbsfähigen LB)</t>
  </si>
  <si>
    <t>Anzahl Tage mit mind. 12stündiger Abwesenheit</t>
  </si>
  <si>
    <t>./. Verpflegungsmehraufwand</t>
  </si>
  <si>
    <t>./. Fahrtkosten 0,20 €/km</t>
  </si>
  <si>
    <r>
      <rPr>
        <b/>
        <sz val="12"/>
        <rFont val="Arial Narrow"/>
        <family val="2"/>
      </rPr>
      <t>Bruttolohn</t>
    </r>
    <r>
      <rPr>
        <b/>
        <sz val="9"/>
        <rFont val="Arial Narrow"/>
        <family val="2"/>
      </rPr>
      <t xml:space="preserve"> </t>
    </r>
  </si>
  <si>
    <t>Bruttolohn gesamt</t>
  </si>
  <si>
    <t>Nettolohn gesamt</t>
  </si>
  <si>
    <t>Einmalzahlung brutto, z.B. Weihnachtsgeld</t>
  </si>
  <si>
    <t>Einmalzahlung netto, z.B. Weihnachtsgeld</t>
  </si>
  <si>
    <t>Ausbildungsvergütung (brutto)</t>
  </si>
  <si>
    <r>
      <rPr>
        <sz val="12"/>
        <rFont val="Arial Narrow"/>
        <family val="2"/>
      </rPr>
      <t xml:space="preserve">steuerfreie Einnahmen aus </t>
    </r>
    <r>
      <rPr>
        <b/>
        <sz val="12"/>
        <rFont val="Arial Narrow"/>
        <family val="2"/>
      </rPr>
      <t>Ehrenamt o.ä.</t>
    </r>
  </si>
  <si>
    <t>Gewinn aus selbständiger Tätigkeit</t>
  </si>
  <si>
    <t>Summe brutto</t>
  </si>
  <si>
    <t>Summe netto</t>
  </si>
  <si>
    <t>Prüfung Werbungskosten</t>
  </si>
  <si>
    <t>Lohn / Entgeltersatzleistungen</t>
  </si>
  <si>
    <t>Ausbildungsvergütung</t>
  </si>
  <si>
    <t>Übungsleiter</t>
  </si>
  <si>
    <t>./. Grundfreibetrag bei Lohn/Azubi/Übungsleiter</t>
  </si>
  <si>
    <r>
      <rPr>
        <sz val="12"/>
        <rFont val="Arial Narrow"/>
        <family val="2"/>
      </rPr>
      <t xml:space="preserve">Taschengeld aus </t>
    </r>
    <r>
      <rPr>
        <u/>
        <sz val="12"/>
        <rFont val="Arial Narrow"/>
        <family val="2"/>
      </rPr>
      <t>Freiwilligendiensten</t>
    </r>
  </si>
  <si>
    <t>Einnahmen Freiwilligendienst gesamt</t>
  </si>
  <si>
    <t>Freibetrag Taschengeld</t>
  </si>
  <si>
    <t>Elterngeldfreibetrag</t>
  </si>
  <si>
    <r>
      <rPr>
        <u/>
        <sz val="12"/>
        <rFont val="Arial Narrow"/>
        <family val="2"/>
      </rPr>
      <t xml:space="preserve">Leistungen der Ausbildungsförderung </t>
    </r>
    <r>
      <rPr>
        <b/>
        <i/>
        <u/>
        <sz val="12"/>
        <rFont val="Arial Narrow"/>
        <family val="2"/>
      </rPr>
      <t>(siehe Liste)</t>
    </r>
  </si>
  <si>
    <t>Grundfreibetrag</t>
  </si>
  <si>
    <t>notwendige Ausgaben</t>
  </si>
  <si>
    <t>Kindergeld</t>
  </si>
  <si>
    <t>Unterhaltsvorschuss</t>
  </si>
  <si>
    <t>Arbeitslosengeld</t>
  </si>
  <si>
    <t>sonstiges Einkommen</t>
  </si>
  <si>
    <t>Summe Einkommen</t>
  </si>
  <si>
    <t>Absetzungen</t>
  </si>
  <si>
    <r>
      <rPr>
        <sz val="12"/>
        <rFont val="Arial Narrow"/>
        <family val="2"/>
      </rPr>
      <t>Versicherungspauschale 30 €</t>
    </r>
    <r>
      <rPr>
        <i/>
        <sz val="12"/>
        <rFont val="Arial Narrow"/>
        <family val="2"/>
      </rPr>
      <t xml:space="preserve"> </t>
    </r>
    <r>
      <rPr>
        <i/>
        <sz val="9"/>
        <rFont val="Arial Narrow"/>
        <family val="2"/>
      </rPr>
      <t>(wird automatisch berücksichtigt)</t>
    </r>
  </si>
  <si>
    <t>Kfz-Haftpflichtversicherung</t>
  </si>
  <si>
    <t>Beiträge zur geförderten Altersvorsorge (Riester-Rente)</t>
  </si>
  <si>
    <t>monatliches Brutto</t>
  </si>
  <si>
    <t>Summe § 11b (1) Satz 1 Nr. 3 bis 4</t>
  </si>
  <si>
    <t>Summe § 11b (1) Satz 1 Nr. 3 bis 5</t>
  </si>
  <si>
    <t>Direktabzug: z.B. notwendige Ausgaben für die Einnahmen Kindergeld bis sonstiges Einkommen</t>
  </si>
  <si>
    <t>Unterhaltsverpflichtungen</t>
  </si>
  <si>
    <t>Minderungen/Kürzungen</t>
  </si>
  <si>
    <t>Minderung wegen Meldeversäumnis § 32 SGB II</t>
  </si>
  <si>
    <t>Minderung wegen Pflichtverletzung § 31 SGB II</t>
  </si>
  <si>
    <r>
      <rPr>
        <sz val="12"/>
        <rFont val="Arial Narrow"/>
        <family val="2"/>
      </rPr>
      <t xml:space="preserve">maßgebliches Alter </t>
    </r>
    <r>
      <rPr>
        <b/>
        <sz val="12"/>
        <rFont val="Arial Narrow"/>
        <family val="2"/>
      </rPr>
      <t>während</t>
    </r>
    <r>
      <rPr>
        <sz val="12"/>
        <rFont val="Arial Narrow"/>
        <family val="2"/>
      </rPr>
      <t xml:space="preserve"> der Pflichtverletzung</t>
    </r>
  </si>
  <si>
    <t>Kürzung Regelbedarf, z.B. wegen temporärer BG</t>
  </si>
  <si>
    <t>Kürzung Anspruch, z.B. wegen Versagung nach § 5 (3)</t>
  </si>
  <si>
    <t>Zuordnung überschüssiges Kindergeld</t>
  </si>
  <si>
    <t>Berechnungshilfe zur Ermittlung eines anteiligen Wertes</t>
  </si>
  <si>
    <t>Betrag</t>
  </si>
  <si>
    <t>gültig vom</t>
  </si>
  <si>
    <t>gültig bis</t>
  </si>
  <si>
    <t>Tage</t>
  </si>
  <si>
    <t>Betrag anteilig</t>
  </si>
  <si>
    <t>Berechnungssatz</t>
  </si>
  <si>
    <t>Bedarfssätze</t>
  </si>
  <si>
    <t>SGB II Anspruch in Höhe von</t>
  </si>
  <si>
    <r>
      <rPr>
        <b/>
        <sz val="12"/>
        <rFont val="Arial Narrow"/>
        <family val="2"/>
      </rPr>
      <t>Möglicher Anspruch auf</t>
    </r>
    <r>
      <rPr>
        <b/>
        <u/>
        <sz val="12"/>
        <rFont val="Arial Narrow"/>
        <family val="2"/>
      </rPr>
      <t xml:space="preserve"> </t>
    </r>
    <r>
      <rPr>
        <b/>
        <sz val="12"/>
        <rFont val="Arial Narrow"/>
        <family val="2"/>
      </rPr>
      <t xml:space="preserve">Wohngeld in Höhe von                </t>
    </r>
    <r>
      <rPr>
        <b/>
        <i/>
        <sz val="12"/>
        <color rgb="FFFF0000"/>
        <rFont val="Arial Narrow"/>
        <family val="2"/>
      </rPr>
      <t xml:space="preserve"> (ggf. sind nachfolgend weitere Daten zu erfassen!)</t>
    </r>
  </si>
  <si>
    <t>ggf. sind nachfolgend noch weitere Daten zu erfassen!</t>
  </si>
  <si>
    <t>Ehrenamt</t>
  </si>
  <si>
    <t>UVG</t>
  </si>
  <si>
    <r>
      <rPr>
        <b/>
        <sz val="18"/>
        <color rgb="FFFFFFFF"/>
        <rFont val="Arial Narrow"/>
        <family val="2"/>
      </rPr>
      <t xml:space="preserve">Notwendige </t>
    </r>
    <r>
      <rPr>
        <b/>
        <sz val="18"/>
        <color rgb="FF92D050"/>
        <rFont val="Arial Narrow"/>
        <family val="2"/>
      </rPr>
      <t>zusätzliche</t>
    </r>
    <r>
      <rPr>
        <b/>
        <sz val="18"/>
        <color rgb="FFFFFFFF"/>
        <rFont val="Arial Narrow"/>
        <family val="2"/>
      </rPr>
      <t xml:space="preserve"> Daten zur Berechnung eines möglichen Wohngeldanspruchs</t>
    </r>
  </si>
  <si>
    <t>Mietenstufe:</t>
  </si>
  <si>
    <t>Mietenstufe kann auch direkt eingegeben werden</t>
  </si>
  <si>
    <r>
      <rPr>
        <b/>
        <sz val="12"/>
        <rFont val="Arial Narrow"/>
        <family val="2"/>
      </rPr>
      <t>Brutto</t>
    </r>
    <r>
      <rPr>
        <sz val="12"/>
        <rFont val="Arial Narrow"/>
        <family val="2"/>
      </rPr>
      <t>arbeitslohn</t>
    </r>
    <r>
      <rPr>
        <b/>
        <sz val="12"/>
        <rFont val="Arial Narrow"/>
        <family val="2"/>
      </rPr>
      <t xml:space="preserve"> jährlich</t>
    </r>
    <r>
      <rPr>
        <sz val="12"/>
        <rFont val="Arial Narrow"/>
        <family val="2"/>
      </rPr>
      <t xml:space="preserve"> (einschl. Einmalzahlungen)</t>
    </r>
  </si>
  <si>
    <r>
      <rPr>
        <b/>
        <sz val="12"/>
        <rFont val="Arial Narrow"/>
        <family val="2"/>
      </rPr>
      <t>Brutto</t>
    </r>
    <r>
      <rPr>
        <sz val="12"/>
        <rFont val="Arial Narrow"/>
        <family val="2"/>
      </rPr>
      <t xml:space="preserve">lohn </t>
    </r>
    <r>
      <rPr>
        <b/>
        <sz val="12"/>
        <rFont val="Arial Narrow"/>
        <family val="2"/>
      </rPr>
      <t>jährlich</t>
    </r>
    <r>
      <rPr>
        <sz val="12"/>
        <rFont val="Arial Narrow"/>
        <family val="2"/>
      </rPr>
      <t xml:space="preserve"> aus </t>
    </r>
    <r>
      <rPr>
        <b/>
        <sz val="12"/>
        <rFont val="Arial Narrow"/>
        <family val="2"/>
      </rPr>
      <t>geringfügiger</t>
    </r>
    <r>
      <rPr>
        <sz val="12"/>
        <rFont val="Arial Narrow"/>
        <family val="2"/>
      </rPr>
      <t xml:space="preserve"> Beschäftigung</t>
    </r>
  </si>
  <si>
    <r>
      <rPr>
        <b/>
        <sz val="12"/>
        <rFont val="Arial Narrow"/>
        <family val="2"/>
      </rPr>
      <t>Brutto</t>
    </r>
    <r>
      <rPr>
        <sz val="12"/>
        <rFont val="Arial Narrow"/>
        <family val="2"/>
      </rPr>
      <t>rente monatlich</t>
    </r>
  </si>
  <si>
    <r>
      <rPr>
        <b/>
        <sz val="12"/>
        <rFont val="Arial Narrow"/>
        <family val="2"/>
      </rPr>
      <t>Zuschuss</t>
    </r>
    <r>
      <rPr>
        <sz val="12"/>
        <rFont val="Arial Narrow"/>
        <family val="2"/>
      </rPr>
      <t xml:space="preserve"> nach BAföG oder AFBG monatlich</t>
    </r>
  </si>
  <si>
    <t>Für die Wohngeldberechnung</t>
  </si>
  <si>
    <t>BG insgesamt</t>
  </si>
  <si>
    <t>von den Bruttoeinnahmen werden gezahlt:</t>
  </si>
  <si>
    <t>Steuern</t>
  </si>
  <si>
    <t>Beiträge zur Krankenversicherung</t>
  </si>
  <si>
    <t>Beiträge zur Rentenversicherung</t>
  </si>
  <si>
    <t>Schwerbehindert (100%)</t>
  </si>
  <si>
    <t>Schwerbehindert (mind. 50%) und mind. Pflegestufe I</t>
  </si>
  <si>
    <t>Zurück</t>
  </si>
  <si>
    <t>Durchschnittlicher Brutto- und Nettolohn für SGB II Berechnung</t>
  </si>
  <si>
    <t>Tätigkeit 1</t>
  </si>
  <si>
    <t>Tätigkeit 2</t>
  </si>
  <si>
    <t>Gesamt</t>
  </si>
  <si>
    <t>Monat</t>
  </si>
  <si>
    <t>Brutto</t>
  </si>
  <si>
    <t>VwL</t>
  </si>
  <si>
    <t>Abzüge</t>
  </si>
  <si>
    <t>Netto</t>
  </si>
  <si>
    <t xml:space="preserve">Summen: </t>
  </si>
  <si>
    <t>Werte in Eingabeblatt übernehmen für:</t>
  </si>
  <si>
    <t>Durchschnittseinkommen</t>
  </si>
  <si>
    <t>Baden-Württemberg</t>
  </si>
  <si>
    <t>Bayern</t>
  </si>
  <si>
    <t>Berlin</t>
  </si>
  <si>
    <t>Brandenburg</t>
  </si>
  <si>
    <t>Bremen</t>
  </si>
  <si>
    <t>Hamburg</t>
  </si>
  <si>
    <t>Mecklenburg-Vorpommern</t>
  </si>
  <si>
    <t>Niedersachsen</t>
  </si>
  <si>
    <t>Nordrhein-Westfalen</t>
  </si>
  <si>
    <t>Rheinland-Pfalz</t>
  </si>
  <si>
    <t>Saarland</t>
  </si>
  <si>
    <t>Sachsen</t>
  </si>
  <si>
    <t>Sachsen-Anhalt</t>
  </si>
  <si>
    <t>Schleswig-Holstein</t>
  </si>
  <si>
    <t>Thüringen</t>
  </si>
  <si>
    <t>Gemeinde</t>
  </si>
  <si>
    <t>Mietenstufe</t>
  </si>
  <si>
    <t>Aalen</t>
  </si>
  <si>
    <t>Abensberg</t>
  </si>
  <si>
    <t>Berlin, Stadt</t>
  </si>
  <si>
    <t>Angermünde</t>
  </si>
  <si>
    <t>Bremen, Stadt</t>
  </si>
  <si>
    <t>Hamburg, Freie und Hansestadt</t>
  </si>
  <si>
    <t>Alsfeld</t>
  </si>
  <si>
    <t>Anklam</t>
  </si>
  <si>
    <t>Achim</t>
  </si>
  <si>
    <t>Aachen, Stadt</t>
  </si>
  <si>
    <t>Alzey, Stadt</t>
  </si>
  <si>
    <t>Beckingen</t>
  </si>
  <si>
    <t>Annaberg-Buchholz</t>
  </si>
  <si>
    <t>Aschersleben</t>
  </si>
  <si>
    <t>Ahrensburg</t>
  </si>
  <si>
    <t>Altenburg, Stadt</t>
  </si>
  <si>
    <t>Achern</t>
  </si>
  <si>
    <t>Aichach, Stadt</t>
  </si>
  <si>
    <t>Bad Belzig</t>
  </si>
  <si>
    <t>Bremerhaven</t>
  </si>
  <si>
    <t>Altenstadt</t>
  </si>
  <si>
    <t>Bad Doberan</t>
  </si>
  <si>
    <t>Adendorf</t>
  </si>
  <si>
    <t>Ahaus</t>
  </si>
  <si>
    <t>Andernach</t>
  </si>
  <si>
    <t>Bexbach</t>
  </si>
  <si>
    <t>Aue</t>
  </si>
  <si>
    <t>Bad Dürrenberg</t>
  </si>
  <si>
    <t>Bad Bramstedt</t>
  </si>
  <si>
    <t>Apolda</t>
  </si>
  <si>
    <t>Aichtal</t>
  </si>
  <si>
    <t>Altdorf</t>
  </si>
  <si>
    <t>Bad Freienwalde (Oder)</t>
  </si>
  <si>
    <t>Aßlar</t>
  </si>
  <si>
    <t>Bergen auf Rügen</t>
  </si>
  <si>
    <t>Aerzen</t>
  </si>
  <si>
    <t>Ahlen</t>
  </si>
  <si>
    <t>Bad Dürkheim, Stadt</t>
  </si>
  <si>
    <t>Blieskastel</t>
  </si>
  <si>
    <t>Auerbach/Vogtl.</t>
  </si>
  <si>
    <t>Bernburg (Saale)</t>
  </si>
  <si>
    <t>Bad Oldesloe</t>
  </si>
  <si>
    <t>Arnstadt</t>
  </si>
  <si>
    <t>Albstadt</t>
  </si>
  <si>
    <t>Altdorf bei Nürnberg</t>
  </si>
  <si>
    <t>Beelitz</t>
  </si>
  <si>
    <t>Babenhausen</t>
  </si>
  <si>
    <t>Boizenburg/Elbe</t>
  </si>
  <si>
    <t>Alfeld (Leine)</t>
  </si>
  <si>
    <t>Aldenhoven</t>
  </si>
  <si>
    <t>Bad Kreuznach, Stadt</t>
  </si>
  <si>
    <t>Dillingen/Saar</t>
  </si>
  <si>
    <t>Bannewitz</t>
  </si>
  <si>
    <t>Bitterfeld-Wolfen, Stadt</t>
  </si>
  <si>
    <t>Bad Schwartau</t>
  </si>
  <si>
    <t>Bad Langensalza</t>
  </si>
  <si>
    <t>Altensteig</t>
  </si>
  <si>
    <t>Altötting, Stadt</t>
  </si>
  <si>
    <t>Bad Arolsen</t>
  </si>
  <si>
    <t>Demmin</t>
  </si>
  <si>
    <t>Apen</t>
  </si>
  <si>
    <t>Alfter</t>
  </si>
  <si>
    <t>Bad Neuenahr-Ahrweiler</t>
  </si>
  <si>
    <t>Eppelborn</t>
  </si>
  <si>
    <t>Bautzen, Stadt</t>
  </si>
  <si>
    <t>Blankenburg (Harz)</t>
  </si>
  <si>
    <t>Bad Segeberg, Stadt</t>
  </si>
  <si>
    <t>Bad Salzungen</t>
  </si>
  <si>
    <t>Ammerbuch</t>
  </si>
  <si>
    <t>Altusried</t>
  </si>
  <si>
    <t>Bernau bei Berlin</t>
  </si>
  <si>
    <t>Bad Camberg</t>
  </si>
  <si>
    <t>Greifswald, Stadt</t>
  </si>
  <si>
    <t>Aurich, Stadt</t>
  </si>
  <si>
    <t>Alpen</t>
  </si>
  <si>
    <t>Bendorf</t>
  </si>
  <si>
    <t>Friedrichsthal</t>
  </si>
  <si>
    <t>Bischofswerda</t>
  </si>
  <si>
    <t>Braunsbedra</t>
  </si>
  <si>
    <t>Bargteheide</t>
  </si>
  <si>
    <t>Eisenach</t>
  </si>
  <si>
    <t>Appenweier</t>
  </si>
  <si>
    <t>Alzenau</t>
  </si>
  <si>
    <t>Blankenfelde-Mahlow</t>
  </si>
  <si>
    <t>Bad Hersfeld, Stadt</t>
  </si>
  <si>
    <t>Grevesmühlen</t>
  </si>
  <si>
    <t>Bad Bentheim, Stadt</t>
  </si>
  <si>
    <t>Alsdorf</t>
  </si>
  <si>
    <t>Betzdorf</t>
  </si>
  <si>
    <t>Heusweiler</t>
  </si>
  <si>
    <t>Borna</t>
  </si>
  <si>
    <t>Burg</t>
  </si>
  <si>
    <t>Barmstedt</t>
  </si>
  <si>
    <t>Eisenberg</t>
  </si>
  <si>
    <t>Asperg</t>
  </si>
  <si>
    <t>Amberg, Stadt</t>
  </si>
  <si>
    <t>Brandenburg a. d. Havel</t>
  </si>
  <si>
    <t>Bad Homburg v. d. Höhe</t>
  </si>
  <si>
    <t>Güstrow</t>
  </si>
  <si>
    <t>Bad Essen</t>
  </si>
  <si>
    <t>Altena</t>
  </si>
  <si>
    <t>Bingen am Rhein, Stadt</t>
  </si>
  <si>
    <t>Homburg</t>
  </si>
  <si>
    <t>Burgstädt</t>
  </si>
  <si>
    <t>Coswig (Anhalt)</t>
  </si>
  <si>
    <t>Barsbüttel</t>
  </si>
  <si>
    <t>Erfurt</t>
  </si>
  <si>
    <t>Aulendorf</t>
  </si>
  <si>
    <t>Ansbach, Stadt</t>
  </si>
  <si>
    <t>Brieselang</t>
  </si>
  <si>
    <t>Bad Nauheim</t>
  </si>
  <si>
    <t>Hagenow</t>
  </si>
  <si>
    <t>Bad Fallingbostel</t>
  </si>
  <si>
    <t>Altenberge</t>
  </si>
  <si>
    <t>Bitburg, Stadt</t>
  </si>
  <si>
    <t>Illingen</t>
  </si>
  <si>
    <t>Chemnitz</t>
  </si>
  <si>
    <t>Dessau-Roßlau</t>
  </si>
  <si>
    <t>Brunsbüttel</t>
  </si>
  <si>
    <t>Gera</t>
  </si>
  <si>
    <t>Backnang</t>
  </si>
  <si>
    <t>Aschaffenburg, Stadt</t>
  </si>
  <si>
    <t>Cottbus</t>
  </si>
  <si>
    <t>Bad Schwalbach</t>
  </si>
  <si>
    <t>Kreis Landkreis Rostock</t>
  </si>
  <si>
    <t>Bad Harzburg</t>
  </si>
  <si>
    <t>Anröchte</t>
  </si>
  <si>
    <t>Bobenheim-Roxheim</t>
  </si>
  <si>
    <t>Kirkel</t>
  </si>
  <si>
    <t>Coswig</t>
  </si>
  <si>
    <t>Eisleben</t>
  </si>
  <si>
    <t>Büdelsdorf</t>
  </si>
  <si>
    <t>Gotha, Stadt</t>
  </si>
  <si>
    <t>Bad Dürrheim</t>
  </si>
  <si>
    <t>Augsburg, Stadt</t>
  </si>
  <si>
    <t>Eberswalde</t>
  </si>
  <si>
    <t>Bad Soden am Taunus</t>
  </si>
  <si>
    <t>Kreis Ludwigslust-Parchim</t>
  </si>
  <si>
    <t>Bad Iburg</t>
  </si>
  <si>
    <t>Arnsberg</t>
  </si>
  <si>
    <t>Böhl-Iggelheim</t>
  </si>
  <si>
    <t>Kleinblittersdorf</t>
  </si>
  <si>
    <t>Crimmitschau</t>
  </si>
  <si>
    <t>Gardelegen</t>
  </si>
  <si>
    <t>Eckernförde, Stadt</t>
  </si>
  <si>
    <t>Greiz, Stadt</t>
  </si>
  <si>
    <t>Bad Friedrichshall</t>
  </si>
  <si>
    <t>Bad Abbach</t>
  </si>
  <si>
    <t>Eisenhüttenstadt</t>
  </si>
  <si>
    <t>Bad Soden-Salmünster</t>
  </si>
  <si>
    <t>Kreis Mecklenburgische Seenplatte</t>
  </si>
  <si>
    <t>Bad Lauterberg im Harz</t>
  </si>
  <si>
    <t>Ascheberg</t>
  </si>
  <si>
    <t>Boppard</t>
  </si>
  <si>
    <t>Kreis Merzig-Wadern</t>
  </si>
  <si>
    <t>Delitzsch</t>
  </si>
  <si>
    <t>Genthin</t>
  </si>
  <si>
    <t>Elmshorn</t>
  </si>
  <si>
    <t>Heilbad Heiligenstadt</t>
  </si>
  <si>
    <t>Bad Krozingen</t>
  </si>
  <si>
    <t>Bad Aibling</t>
  </si>
  <si>
    <t>Erkner</t>
  </si>
  <si>
    <t>Bad Vilbel</t>
  </si>
  <si>
    <t>Kreis Nordwestmecklenburg</t>
  </si>
  <si>
    <t>Bad Münder am Deister</t>
  </si>
  <si>
    <t>Attendorn</t>
  </si>
  <si>
    <t>Diez</t>
  </si>
  <si>
    <t>Kreis Neunkirchen</t>
  </si>
  <si>
    <t>Dippoldiswalde</t>
  </si>
  <si>
    <t>Gommern</t>
  </si>
  <si>
    <t>Eutin</t>
  </si>
  <si>
    <t>Hildburghausen, Stadt</t>
  </si>
  <si>
    <t>Bad Mergentheim</t>
  </si>
  <si>
    <t>Bad Kissingen, Stadt</t>
  </si>
  <si>
    <t>Falkensee</t>
  </si>
  <si>
    <t>Bad Wildungen</t>
  </si>
  <si>
    <t>Kreis Vorpommern-Greifswald</t>
  </si>
  <si>
    <t>Bad Nenndorf</t>
  </si>
  <si>
    <t>Bad Berleburg</t>
  </si>
  <si>
    <t>Frankenthal (Pfalz)</t>
  </si>
  <si>
    <t>Kreis Regionalverband Saarbrücken</t>
  </si>
  <si>
    <t>Döbeln</t>
  </si>
  <si>
    <t>Gräfenhainichen</t>
  </si>
  <si>
    <t>Fehmarn</t>
  </si>
  <si>
    <t>Ilmenau</t>
  </si>
  <si>
    <t>Bad Rappenau</t>
  </si>
  <si>
    <t>Bad Neustadt a. d. Saale</t>
  </si>
  <si>
    <t>Finsterwalde</t>
  </si>
  <si>
    <t>Baunatal</t>
  </si>
  <si>
    <t>Kreis Vorpommern-Rügen</t>
  </si>
  <si>
    <t>Bad Pyrmont, Stadt</t>
  </si>
  <si>
    <t>Bad Driburg</t>
  </si>
  <si>
    <t>Germersheim, Stadt</t>
  </si>
  <si>
    <t>Kreis Saarlouis</t>
  </si>
  <si>
    <t>Dresden</t>
  </si>
  <si>
    <t>Halberstadt</t>
  </si>
  <si>
    <t>Flensburg, Stadt</t>
  </si>
  <si>
    <t>Jena</t>
  </si>
  <si>
    <t>Bad Säckingen</t>
  </si>
  <si>
    <t>Bad Reichenhall</t>
  </si>
  <si>
    <t>Forst (Lausitz)</t>
  </si>
  <si>
    <t>Bebra</t>
  </si>
  <si>
    <t>Ludwigslust, Stadt</t>
  </si>
  <si>
    <t>Bad Salzdetfurth</t>
  </si>
  <si>
    <t>Bad Honnef</t>
  </si>
  <si>
    <t>Grafschaft</t>
  </si>
  <si>
    <t>Kreis Saarpfalz-Kreis</t>
  </si>
  <si>
    <t>Ebersbach-Neugersdorf</t>
  </si>
  <si>
    <t>Haldensleben</t>
  </si>
  <si>
    <t>Geesthacht</t>
  </si>
  <si>
    <t>Kreis Altenburger Land</t>
  </si>
  <si>
    <t>Bad Saulgau</t>
  </si>
  <si>
    <t>Bad Staffelstein</t>
  </si>
  <si>
    <t>Frankfurt (Oder)</t>
  </si>
  <si>
    <t>Bensheim</t>
  </si>
  <si>
    <t>Neubrandenburg</t>
  </si>
  <si>
    <t>Bad Zwischenahn</t>
  </si>
  <si>
    <t>Bad Laasphe</t>
  </si>
  <si>
    <t>Grünstadt</t>
  </si>
  <si>
    <t>Kreis Sankt Wendel</t>
  </si>
  <si>
    <t>Eilenburg</t>
  </si>
  <si>
    <t>Halle (Saale)</t>
  </si>
  <si>
    <t>Glinde</t>
  </si>
  <si>
    <t>Kreis Eichsfeld</t>
  </si>
  <si>
    <t>Bad Schönborn</t>
  </si>
  <si>
    <t>Bad Tölz, Stadt</t>
  </si>
  <si>
    <t>Fredersdorf-Vogelsdorf</t>
  </si>
  <si>
    <t>Biebertal</t>
  </si>
  <si>
    <t>Neustrelitz</t>
  </si>
  <si>
    <t>Barsinghausen</t>
  </si>
  <si>
    <t>Bad Lippspringe</t>
  </si>
  <si>
    <t>Haßloch</t>
  </si>
  <si>
    <t>Lebach</t>
  </si>
  <si>
    <t>Flöha</t>
  </si>
  <si>
    <t>Hettstedt</t>
  </si>
  <si>
    <t>Glückstadt</t>
  </si>
  <si>
    <t>Kreis Gotha</t>
  </si>
  <si>
    <t>Bad Urach</t>
  </si>
  <si>
    <t>Bad Windsheim, Stadt</t>
  </si>
  <si>
    <t>Fürstenwalde/Spree</t>
  </si>
  <si>
    <t>Biedenkopf, Stadt</t>
  </si>
  <si>
    <t>Parchim, Stadt</t>
  </si>
  <si>
    <t>Barßel</t>
  </si>
  <si>
    <t>Bad Münstereifel</t>
  </si>
  <si>
    <t>Herxheim b. Landau/Pfalz</t>
  </si>
  <si>
    <t>Losheim am See</t>
  </si>
  <si>
    <t>Frankenberg</t>
  </si>
  <si>
    <t>Hohe Börde, Stadt</t>
  </si>
  <si>
    <t>Halstenbek</t>
  </si>
  <si>
    <t>Kreis Greiz</t>
  </si>
  <si>
    <t>Bad Waldsee</t>
  </si>
  <si>
    <t>Bad Wörishofen</t>
  </si>
  <si>
    <t>Glienicke/Nordbahn</t>
  </si>
  <si>
    <t>Birkenau</t>
  </si>
  <si>
    <t>Pasewalk</t>
  </si>
  <si>
    <t>Bassum</t>
  </si>
  <si>
    <t>Bad Oeynhausen</t>
  </si>
  <si>
    <t>Idar-Oberstein</t>
  </si>
  <si>
    <t>Mandelbachtal</t>
  </si>
  <si>
    <t>Freiberg</t>
  </si>
  <si>
    <t>Jessen (Elster)</t>
  </si>
  <si>
    <t>Handewitt</t>
  </si>
  <si>
    <t>Kreis Hildburghausen</t>
  </si>
  <si>
    <t>Bad Wurzach</t>
  </si>
  <si>
    <t>Bamberg, Stadt</t>
  </si>
  <si>
    <t>Guben</t>
  </si>
  <si>
    <t>Bischofsheim</t>
  </si>
  <si>
    <t>Ribnitz-Damgarten</t>
  </si>
  <si>
    <t>Belm</t>
  </si>
  <si>
    <t>Bad Salzuflen</t>
  </si>
  <si>
    <t>Ingelheim am Rhein</t>
  </si>
  <si>
    <t>Marpingen</t>
  </si>
  <si>
    <t>Freital</t>
  </si>
  <si>
    <t>Kemberg</t>
  </si>
  <si>
    <t>Harrislee</t>
  </si>
  <si>
    <t>Kreis Ilm-Kreis</t>
  </si>
  <si>
    <t>Baden-Baden</t>
  </si>
  <si>
    <t>Bayreuth, Stadt</t>
  </si>
  <si>
    <t>Hennigsdorf</t>
  </si>
  <si>
    <t>Borken (Hessen)</t>
  </si>
  <si>
    <t>Rostock, Stadt</t>
  </si>
  <si>
    <t>Bergen</t>
  </si>
  <si>
    <t>Bad Sassendorf</t>
  </si>
  <si>
    <t>Kaiserslautern, Stadt</t>
  </si>
  <si>
    <t>Merchweiler</t>
  </si>
  <si>
    <t>Frohburg</t>
  </si>
  <si>
    <t>Klötze</t>
  </si>
  <si>
    <t>Heide</t>
  </si>
  <si>
    <t>Kreis Kyffhäuserkreis</t>
  </si>
  <si>
    <t>Baiersbronn</t>
  </si>
  <si>
    <t>Bobingen</t>
  </si>
  <si>
    <t>Hohen Neuendorf</t>
  </si>
  <si>
    <t>Braunfels</t>
  </si>
  <si>
    <t>Schwerin</t>
  </si>
  <si>
    <t>Beverstedt</t>
  </si>
  <si>
    <t>Bad Wünnenberg</t>
  </si>
  <si>
    <t>Koblenz, Stadt</t>
  </si>
  <si>
    <t>Merzig, Stadt</t>
  </si>
  <si>
    <t>Glauchau</t>
  </si>
  <si>
    <t>Köthen (Anhalt)</t>
  </si>
  <si>
    <t>Henstedt-Ulzburg</t>
  </si>
  <si>
    <t>Kreis Nordhausen</t>
  </si>
  <si>
    <t>Balingen</t>
  </si>
  <si>
    <t>Bogen, Stadt</t>
  </si>
  <si>
    <t>Hoppegarten</t>
  </si>
  <si>
    <t>Bruchköbel</t>
  </si>
  <si>
    <t>Stralsund</t>
  </si>
  <si>
    <t>Bissendorf</t>
  </si>
  <si>
    <t>Baesweiler</t>
  </si>
  <si>
    <t>Konz</t>
  </si>
  <si>
    <t>Mettlach</t>
  </si>
  <si>
    <t>Görlitz, Stadt</t>
  </si>
  <si>
    <t>Kreis Altmarkkreis-Salzwedel</t>
  </si>
  <si>
    <t>Husum</t>
  </si>
  <si>
    <t>Kreis Saale-Holzland-Kreis</t>
  </si>
  <si>
    <t>Besigheim</t>
  </si>
  <si>
    <t>Bruckmühl</t>
  </si>
  <si>
    <t>Jüterbog</t>
  </si>
  <si>
    <t>Büdingen</t>
  </si>
  <si>
    <t>Waren (Müritz)</t>
  </si>
  <si>
    <t>Bohmte</t>
  </si>
  <si>
    <t>Balve</t>
  </si>
  <si>
    <t>Kreis Ahrweiler</t>
  </si>
  <si>
    <t>Neunkirchen, Stadt</t>
  </si>
  <si>
    <t>Grimma</t>
  </si>
  <si>
    <t>Kreis Anhalt-Bitterfeld</t>
  </si>
  <si>
    <t>Itzehoe</t>
  </si>
  <si>
    <t>Kreis Saale-Orla-Kreis</t>
  </si>
  <si>
    <t>Biberach an der Riß, Stadt</t>
  </si>
  <si>
    <t>Buchloe</t>
  </si>
  <si>
    <t>Kleinmachnow</t>
  </si>
  <si>
    <t>Bürstadt</t>
  </si>
  <si>
    <t>Wismar</t>
  </si>
  <si>
    <t>Bovenden</t>
  </si>
  <si>
    <t>Beckum</t>
  </si>
  <si>
    <t>Kreis Altenkirchen (Westerwald)</t>
  </si>
  <si>
    <t>Nohfelden</t>
  </si>
  <si>
    <t>Großenhain</t>
  </si>
  <si>
    <t>Kreis Börde</t>
  </si>
  <si>
    <t>Kaltenkirchen</t>
  </si>
  <si>
    <t>Kreis Saalfeld-Rudolstadt</t>
  </si>
  <si>
    <t>Bietigheim-Bissingen</t>
  </si>
  <si>
    <t>Burghausen</t>
  </si>
  <si>
    <t>Kloster Lehnin</t>
  </si>
  <si>
    <t>Buseck</t>
  </si>
  <si>
    <t>Wolgast</t>
  </si>
  <si>
    <t>Brake (Unterweser)</t>
  </si>
  <si>
    <t>Bedburg</t>
  </si>
  <si>
    <t>Kreis Alzey-Worms</t>
  </si>
  <si>
    <t>Ottweiler</t>
  </si>
  <si>
    <t>Heidenau</t>
  </si>
  <si>
    <t>Kreis Burgenlandkreis</t>
  </si>
  <si>
    <t>Kiel</t>
  </si>
  <si>
    <t>Kreis Schmalkalden-Meiningen</t>
  </si>
  <si>
    <t>Birkenfeld</t>
  </si>
  <si>
    <t>Burgkirchen a. d. Alz</t>
  </si>
  <si>
    <t>Königs Wusterhausen</t>
  </si>
  <si>
    <t>Büttelborn</t>
  </si>
  <si>
    <t>Bramsche</t>
  </si>
  <si>
    <t>Bedburg-Hau</t>
  </si>
  <si>
    <t>Kreis Bad Dürkheim</t>
  </si>
  <si>
    <t>Püttlingen</t>
  </si>
  <si>
    <t>Hohenstein-Ernstthal</t>
  </si>
  <si>
    <t>Kreis Harz</t>
  </si>
  <si>
    <t>Kreis Dithmarschen</t>
  </si>
  <si>
    <t>Kreis Sömmerda</t>
  </si>
  <si>
    <t>Blaubeuren</t>
  </si>
  <si>
    <t>Burglengenfeld</t>
  </si>
  <si>
    <t>Kreis Barnim</t>
  </si>
  <si>
    <t>Butzbach</t>
  </si>
  <si>
    <t>Braunschweig</t>
  </si>
  <si>
    <t>Bergheim</t>
  </si>
  <si>
    <t>Kreis Bad Kreuznach</t>
  </si>
  <si>
    <t>Quierschied</t>
  </si>
  <si>
    <t>Hoyerswerda</t>
  </si>
  <si>
    <t>Kreis Jerichower Land</t>
  </si>
  <si>
    <t>Kreis Herzogtum Lauenburg</t>
  </si>
  <si>
    <t>Kreis Sonneberg</t>
  </si>
  <si>
    <t>Blaustein</t>
  </si>
  <si>
    <t>Burgthann</t>
  </si>
  <si>
    <t>Kreis Dahme-Spreewald</t>
  </si>
  <si>
    <t>Darmstadt, Stadt</t>
  </si>
  <si>
    <t>Bremervörde</t>
  </si>
  <si>
    <t>Bergisch-Gladbach</t>
  </si>
  <si>
    <t>Kreis Bernkastel-Wittlich</t>
  </si>
  <si>
    <t>Rehlingen-Siersburg</t>
  </si>
  <si>
    <t>Kamenz</t>
  </si>
  <si>
    <t>Kreis Mansfeld-Südharz</t>
  </si>
  <si>
    <t>Kreis Nordfriesland</t>
  </si>
  <si>
    <t>Kreis Unstrut-Hainich-Kreis</t>
  </si>
  <si>
    <t>Blumberg</t>
  </si>
  <si>
    <t>Cadolzburg</t>
  </si>
  <si>
    <t>Kreis Elbe-Elster</t>
  </si>
  <si>
    <t>Dautphetal</t>
  </si>
  <si>
    <t>Buchholz i. d. Nordheide</t>
  </si>
  <si>
    <t>Bergkamen</t>
  </si>
  <si>
    <t>Kreis Birkenfeld, Nationalparklandkreis</t>
  </si>
  <si>
    <t>Riegelsberg</t>
  </si>
  <si>
    <t>Klipphausen</t>
  </si>
  <si>
    <t>Kreis Saalekreis</t>
  </si>
  <si>
    <t>Kreis Ostholstein</t>
  </si>
  <si>
    <t>Kreis Wartburgkreis</t>
  </si>
  <si>
    <t>Böblingen, Stadt</t>
  </si>
  <si>
    <t>Cham, Stadt</t>
  </si>
  <si>
    <t>Kreis Havelland</t>
  </si>
  <si>
    <t>Dieburg, Stadt</t>
  </si>
  <si>
    <t>Bückeburg</t>
  </si>
  <si>
    <t>Bergneustadt</t>
  </si>
  <si>
    <t>Kreis Cochem-Zell</t>
  </si>
  <si>
    <t>Saarbrücken, Stadt</t>
  </si>
  <si>
    <t>Kreis Bautzen</t>
  </si>
  <si>
    <t>Kreis Salzlandkreis</t>
  </si>
  <si>
    <t>Kreis Pinneberg</t>
  </si>
  <si>
    <t>Kreis Weimarer Land</t>
  </si>
  <si>
    <t>Bopfingen</t>
  </si>
  <si>
    <t>Coburg, Stadt</t>
  </si>
  <si>
    <t>Kreis Märkisch-Oderland</t>
  </si>
  <si>
    <t>Dietzenbach</t>
  </si>
  <si>
    <t>Burgdorf</t>
  </si>
  <si>
    <t>Bestwig</t>
  </si>
  <si>
    <t>Kreis Donnersbergkreis</t>
  </si>
  <si>
    <t>Saarlouis, Stadt</t>
  </si>
  <si>
    <t>Kreis Erzgebirgskreis</t>
  </si>
  <si>
    <t>Kreis Stendal</t>
  </si>
  <si>
    <t>Kreis Plön</t>
  </si>
  <si>
    <t>Leinefelde-Worbis</t>
  </si>
  <si>
    <t>Brackenheim</t>
  </si>
  <si>
    <t>Dachau, Stadt</t>
  </si>
  <si>
    <t>Kreis Oberhavel</t>
  </si>
  <si>
    <t>Dillenburg</t>
  </si>
  <si>
    <t>Burgwedel</t>
  </si>
  <si>
    <t>Beverungen</t>
  </si>
  <si>
    <t>Kreis Eifelkreis Bitburg-Prüm</t>
  </si>
  <si>
    <t>Saarwellingen</t>
  </si>
  <si>
    <t>Kreis Görlitz</t>
  </si>
  <si>
    <t>Kreis Wittenberg</t>
  </si>
  <si>
    <t>Kreis Rendsburg-Eckernförde</t>
  </si>
  <si>
    <t>Meiningen, Stadt</t>
  </si>
  <si>
    <t>Breisach am Rhein</t>
  </si>
  <si>
    <t>Deggendorf, Stadt</t>
  </si>
  <si>
    <t>Kreis Oberspreewald-Lausitz</t>
  </si>
  <si>
    <t>Dreieich</t>
  </si>
  <si>
    <t>Buxtehude</t>
  </si>
  <si>
    <t>Bielefeld</t>
  </si>
  <si>
    <t>Kreis Germersheim</t>
  </si>
  <si>
    <t>Sankt Ingbert</t>
  </si>
  <si>
    <t>Kreis Leipzig</t>
  </si>
  <si>
    <t>Landsberg</t>
  </si>
  <si>
    <t>Kreis Schleswig-Flensburg</t>
  </si>
  <si>
    <t>Meuselwitz</t>
  </si>
  <si>
    <t>Bretten</t>
  </si>
  <si>
    <t>Diedorf</t>
  </si>
  <si>
    <t>Kreis Oder-Spree</t>
  </si>
  <si>
    <t>Egelsbach</t>
  </si>
  <si>
    <t>Celle, Stadt</t>
  </si>
  <si>
    <t>Billerbeck</t>
  </si>
  <si>
    <t>Kreis Kaiserslautern</t>
  </si>
  <si>
    <t>Sankt Wendel, Stadt</t>
  </si>
  <si>
    <t>Kreis Meißen</t>
  </si>
  <si>
    <t>Leuna</t>
  </si>
  <si>
    <t>Kreis Segeberg</t>
  </si>
  <si>
    <t>Mühlhausen/Thüringen</t>
  </si>
  <si>
    <t>Bretzfeld</t>
  </si>
  <si>
    <t>Dießen a. Ammersee</t>
  </si>
  <si>
    <t>Kreis Ostprignitz-Ruppin</t>
  </si>
  <si>
    <t>Eichenzell</t>
  </si>
  <si>
    <t>Clausthal-Zellerfeld</t>
  </si>
  <si>
    <t>Blomberg</t>
  </si>
  <si>
    <t>Kreis Kusel</t>
  </si>
  <si>
    <t>Schiffweiler</t>
  </si>
  <si>
    <t>Kreis Mittelsachsen</t>
  </si>
  <si>
    <t>Magdeburg</t>
  </si>
  <si>
    <t>Kreis Steinburg</t>
  </si>
  <si>
    <t>Nordhausen, Stadt</t>
  </si>
  <si>
    <t>Bruchsal</t>
  </si>
  <si>
    <t>Dillingen a. d. Donau, Stadt</t>
  </si>
  <si>
    <t>Kreis Potsdam-Mittelmark</t>
  </si>
  <si>
    <t>Eltville am Rhein</t>
  </si>
  <si>
    <t>Cloppenburg, Stadt</t>
  </si>
  <si>
    <t>Bocholt</t>
  </si>
  <si>
    <t>Kreis Mainz-Bingen</t>
  </si>
  <si>
    <t>Schmelz</t>
  </si>
  <si>
    <t>Kreis Nordsachsen</t>
  </si>
  <si>
    <t>Merseburg</t>
  </si>
  <si>
    <t>Kreis Stormarn</t>
  </si>
  <si>
    <t>Pößneck</t>
  </si>
  <si>
    <t>Brühl</t>
  </si>
  <si>
    <t>Dingolfing, Stadt</t>
  </si>
  <si>
    <t>Kreis Prignitz</t>
  </si>
  <si>
    <t>Eppstein</t>
  </si>
  <si>
    <t>Cremlingen</t>
  </si>
  <si>
    <t>Bochum</t>
  </si>
  <si>
    <t>Kreis Mayen-Koblenz</t>
  </si>
  <si>
    <t>Schwalbach</t>
  </si>
  <si>
    <t>Kreis Sächsische Schweiz - Osterzgebirge</t>
  </si>
  <si>
    <t>Möckern</t>
  </si>
  <si>
    <t>Kronshagen</t>
  </si>
  <si>
    <t>Rudolstadt, Stadt</t>
  </si>
  <si>
    <t>Buchen (Odenwald)</t>
  </si>
  <si>
    <t>Dinkelsbühl</t>
  </si>
  <si>
    <t>Kreis Spree-Neiße</t>
  </si>
  <si>
    <t>Erbach</t>
  </si>
  <si>
    <t>Cuxhaven, Stadt</t>
  </si>
  <si>
    <t>Bönen</t>
  </si>
  <si>
    <t>Kreis Neuwied</t>
  </si>
  <si>
    <t>Spiesen-Elversberg</t>
  </si>
  <si>
    <t>Kreis Vogtlandkreis</t>
  </si>
  <si>
    <t>Muldestausee</t>
  </si>
  <si>
    <t>Lauenburg/Elbe, Stadt</t>
  </si>
  <si>
    <t>Saalfeld/Saale, Stadt</t>
  </si>
  <si>
    <t>Bühl</t>
  </si>
  <si>
    <t>Donauwörth</t>
  </si>
  <si>
    <t>Kreis Teltow-Fläming</t>
  </si>
  <si>
    <t>Erlensee</t>
  </si>
  <si>
    <t>Damme</t>
  </si>
  <si>
    <t>Bonn</t>
  </si>
  <si>
    <t>Kreis Rhein-Hunsrück-Kreis</t>
  </si>
  <si>
    <t>Sulzbach/Saar</t>
  </si>
  <si>
    <t>Kreis Zwickau</t>
  </si>
  <si>
    <t>Naumburg (Saale)</t>
  </si>
  <si>
    <t>Lübeck</t>
  </si>
  <si>
    <t>Schmalkalden, Stadt</t>
  </si>
  <si>
    <t>Burladingen</t>
  </si>
  <si>
    <t>Dorfen</t>
  </si>
  <si>
    <t>Kreis Uckermark</t>
  </si>
  <si>
    <t>Eschborn</t>
  </si>
  <si>
    <t>Delmenhorst</t>
  </si>
  <si>
    <t>Borchen</t>
  </si>
  <si>
    <t>Kreis Rhein-Lahn-Kreis</t>
  </si>
  <si>
    <t>Tholey</t>
  </si>
  <si>
    <t>Leipzig, Stadt</t>
  </si>
  <si>
    <t>Oberharz am Brocken</t>
  </si>
  <si>
    <t>Malente</t>
  </si>
  <si>
    <t>Schmölln</t>
  </si>
  <si>
    <t>Calw, Stadt</t>
  </si>
  <si>
    <t>Ebersberg, Stadt</t>
  </si>
  <si>
    <t>Lauchhammer</t>
  </si>
  <si>
    <t>Eschenburg</t>
  </si>
  <si>
    <t>Diepholz, Stadt</t>
  </si>
  <si>
    <t>Borken, Stadt</t>
  </si>
  <si>
    <t>Kreis Rhein-Pfalz-Kreis</t>
  </si>
  <si>
    <t>Überherrn</t>
  </si>
  <si>
    <t>Lichtenstein/Sa.</t>
  </si>
  <si>
    <t>Oebisfelde-Weferlingen</t>
  </si>
  <si>
    <t>Mölln</t>
  </si>
  <si>
    <t>Sömmerda, Stadt</t>
  </si>
  <si>
    <t>Crailsheim</t>
  </si>
  <si>
    <t>Eching</t>
  </si>
  <si>
    <t>Lübben/Spreewald</t>
  </si>
  <si>
    <t>Eschwege</t>
  </si>
  <si>
    <t>Dinklage</t>
  </si>
  <si>
    <t>Bornheim</t>
  </si>
  <si>
    <t>Kreis Südliche Weinstraße</t>
  </si>
  <si>
    <t>Völklingen</t>
  </si>
  <si>
    <t>Limbach-Oberfrohna</t>
  </si>
  <si>
    <t>Oschersleben (Bode)</t>
  </si>
  <si>
    <t>Neumünster</t>
  </si>
  <si>
    <t>Sondershausen</t>
  </si>
  <si>
    <t>Denkendorf</t>
  </si>
  <si>
    <t>Eckental</t>
  </si>
  <si>
    <t>Lübbenau/Spreewald</t>
  </si>
  <si>
    <t>Felsberg</t>
  </si>
  <si>
    <t>Drochtersen</t>
  </si>
  <si>
    <t>Bottrop</t>
  </si>
  <si>
    <t>Kreis Südwestpfalz</t>
  </si>
  <si>
    <t>Wadern, Stadt</t>
  </si>
  <si>
    <t>Löbau</t>
  </si>
  <si>
    <t>Osterburg (Altmark)</t>
  </si>
  <si>
    <t>Neustadt in Holstein</t>
  </si>
  <si>
    <t>Sonneberg, Stadt</t>
  </si>
  <si>
    <t>Denzlingen</t>
  </si>
  <si>
    <t>Eggenfelden</t>
  </si>
  <si>
    <t>Luckenwalde</t>
  </si>
  <si>
    <t>Flörsheim am Main</t>
  </si>
  <si>
    <t>Duderstadt</t>
  </si>
  <si>
    <t>Brakel</t>
  </si>
  <si>
    <t>Kreis Trier-Saarburg</t>
  </si>
  <si>
    <t>Wadgassen</t>
  </si>
  <si>
    <t>Marienberg</t>
  </si>
  <si>
    <t>Osterwieck</t>
  </si>
  <si>
    <t>Niebüll</t>
  </si>
  <si>
    <t>Suhl</t>
  </si>
  <si>
    <t>Ditzingen</t>
  </si>
  <si>
    <t>Eichenau</t>
  </si>
  <si>
    <t>Ludwigsfelde</t>
  </si>
  <si>
    <t>Frankenberg (Eder), Stadt</t>
  </si>
  <si>
    <t>Edemissen</t>
  </si>
  <si>
    <t>Brilon</t>
  </si>
  <si>
    <t>Kreis Vulkaneifel</t>
  </si>
  <si>
    <t>Markkleeberg</t>
  </si>
  <si>
    <t>Quedlinburg</t>
  </si>
  <si>
    <t>Norderstedt</t>
  </si>
  <si>
    <t>Waltershausen</t>
  </si>
  <si>
    <t>Donaueschingen</t>
  </si>
  <si>
    <t>Eichstätt, Stadt</t>
  </si>
  <si>
    <t>Michendorf</t>
  </si>
  <si>
    <t>Edewecht</t>
  </si>
  <si>
    <t>Brüggen</t>
  </si>
  <si>
    <t>Kreis Westerwaldkreis</t>
  </si>
  <si>
    <t>Markranstädt</t>
  </si>
  <si>
    <t>Querfurt</t>
  </si>
  <si>
    <t>Pinneberg, Stadt</t>
  </si>
  <si>
    <t>Weimar, Stadt</t>
  </si>
  <si>
    <t>Donzdorf</t>
  </si>
  <si>
    <t>Erding, Stadt</t>
  </si>
  <si>
    <t>Mühlenbecker Land</t>
  </si>
  <si>
    <t>Freigericht</t>
  </si>
  <si>
    <t>Einbeck</t>
  </si>
  <si>
    <t>Lahnstein</t>
  </si>
  <si>
    <t>Meerane</t>
  </si>
  <si>
    <t>Salzatal</t>
  </si>
  <si>
    <t>Preetz</t>
  </si>
  <si>
    <t>Zella-Mehlis</t>
  </si>
  <si>
    <t>Dossenheim</t>
  </si>
  <si>
    <t>Ergolding</t>
  </si>
  <si>
    <t>Nauen</t>
  </si>
  <si>
    <t>Friedberg (Hessen)</t>
  </si>
  <si>
    <t>Emden</t>
  </si>
  <si>
    <t>Bünde</t>
  </si>
  <si>
    <t>Landau i.d. Pfalz</t>
  </si>
  <si>
    <t>Meißen, Stadt</t>
  </si>
  <si>
    <t>Salzwedel, Stadt</t>
  </si>
  <si>
    <t>Quickborn</t>
  </si>
  <si>
    <t>Zeulenroda-Triebes</t>
  </si>
  <si>
    <t>Durmersheim</t>
  </si>
  <si>
    <t>Erlangen, Stadt</t>
  </si>
  <si>
    <t>Neuenhagen bei Berlin</t>
  </si>
  <si>
    <t>Friedrichsdorf</t>
  </si>
  <si>
    <t>Emsbueren</t>
  </si>
  <si>
    <t>Burbach</t>
  </si>
  <si>
    <t>Limburgerhof</t>
  </si>
  <si>
    <t>Mittweida</t>
  </si>
  <si>
    <t>Sandersdorf-Brehna</t>
  </si>
  <si>
    <t>Ratekau</t>
  </si>
  <si>
    <t>Eberbach</t>
  </si>
  <si>
    <t>Erlenbach am Main</t>
  </si>
  <si>
    <t>Neuruppin</t>
  </si>
  <si>
    <t>Fritzlar</t>
  </si>
  <si>
    <t>Emstek</t>
  </si>
  <si>
    <t>Büren</t>
  </si>
  <si>
    <t>Ludwigshafen am Rhein</t>
  </si>
  <si>
    <t>Mülsen</t>
  </si>
  <si>
    <t>Sangerhausen</t>
  </si>
  <si>
    <t>Ratzeburg</t>
  </si>
  <si>
    <t>Ebersbach an der Fils</t>
  </si>
  <si>
    <t>Essenbach</t>
  </si>
  <si>
    <t>Oberkrämer</t>
  </si>
  <si>
    <t>Fulda, Stadt</t>
  </si>
  <si>
    <t>Friedeburg</t>
  </si>
  <si>
    <t>Burscheid</t>
  </si>
  <si>
    <t>Mainz, Stadt</t>
  </si>
  <si>
    <t>Neustadt in Sachsen</t>
  </si>
  <si>
    <t>Schkopau</t>
  </si>
  <si>
    <t>Reinbek</t>
  </si>
  <si>
    <t>Edingen-Neckarhausen</t>
  </si>
  <si>
    <t>Feldkirchen-Westerham</t>
  </si>
  <si>
    <t>Oranienburg</t>
  </si>
  <si>
    <t>Fuldatal</t>
  </si>
  <si>
    <t>Friedland</t>
  </si>
  <si>
    <t>Castrop-Rauxel</t>
  </si>
  <si>
    <t>Mayen, Stadt</t>
  </si>
  <si>
    <t>Nossen</t>
  </si>
  <si>
    <t>Schönebeck (Elbe)</t>
  </si>
  <si>
    <t>Rellingen</t>
  </si>
  <si>
    <t>Eggenstein-Leopoldshafen</t>
  </si>
  <si>
    <t>Feucht</t>
  </si>
  <si>
    <t>Panketal</t>
  </si>
  <si>
    <t>Fürth</t>
  </si>
  <si>
    <t>Friesoythe</t>
  </si>
  <si>
    <t>Coesfeld, Stadt</t>
  </si>
  <si>
    <t>Montabaur</t>
  </si>
  <si>
    <t>Oelsnitz/Erzgeb.</t>
  </si>
  <si>
    <t>Staßfurt</t>
  </si>
  <si>
    <t>Rendsburg, Stadt</t>
  </si>
  <si>
    <t>Ehingen (Donau)</t>
  </si>
  <si>
    <t>Feuchtwangen</t>
  </si>
  <si>
    <t>Perleberg</t>
  </si>
  <si>
    <t>Geisenheim</t>
  </si>
  <si>
    <t>Ganderkesee</t>
  </si>
  <si>
    <t>Datteln</t>
  </si>
  <si>
    <t>Morbach</t>
  </si>
  <si>
    <t>Oelsnitz/Vogtland, Stadt</t>
  </si>
  <si>
    <t>Stendal, Stadt</t>
  </si>
  <si>
    <t>Scharbeutz</t>
  </si>
  <si>
    <t>Eislingen/Fils</t>
  </si>
  <si>
    <t>Forchheim, Stadt</t>
  </si>
  <si>
    <t>Petershagen/Eggersdorf</t>
  </si>
  <si>
    <t>Gelnhausen</t>
  </si>
  <si>
    <t>Garbsen</t>
  </si>
  <si>
    <t>Delbrück</t>
  </si>
  <si>
    <t>Mülheim-Kärlich</t>
  </si>
  <si>
    <t>Olbernhau</t>
  </si>
  <si>
    <t>Südliches Anhalt</t>
  </si>
  <si>
    <t>Schenefeld</t>
  </si>
  <si>
    <t>Ellwangen (Jagst)</t>
  </si>
  <si>
    <t>Freilassing</t>
  </si>
  <si>
    <t>Potsdam, Stadt</t>
  </si>
  <si>
    <t>Gernsheim</t>
  </si>
  <si>
    <t>Garrel</t>
  </si>
  <si>
    <t>Detmold</t>
  </si>
  <si>
    <t>Mutterstadt</t>
  </si>
  <si>
    <t>Oschatz</t>
  </si>
  <si>
    <t>Tangerhütte</t>
  </si>
  <si>
    <t>Schleswig, Stadt</t>
  </si>
  <si>
    <t>Emmendingen, Stadt</t>
  </si>
  <si>
    <t>Freising, Stadt</t>
  </si>
  <si>
    <t>Prenzlau</t>
  </si>
  <si>
    <t>Gießen, Stadt</t>
  </si>
  <si>
    <t>Geeste</t>
  </si>
  <si>
    <t>Dinslaken</t>
  </si>
  <si>
    <t>Neustadt (a. d. Weinstr.)</t>
  </si>
  <si>
    <t>Pirna</t>
  </si>
  <si>
    <t>Tangermünde</t>
  </si>
  <si>
    <t>Schwarzenbek</t>
  </si>
  <si>
    <t>Engen</t>
  </si>
  <si>
    <t>Friedberg, Stadt</t>
  </si>
  <si>
    <t>Pritzwalk</t>
  </si>
  <si>
    <t>Ginsheim-Gustavsburg</t>
  </si>
  <si>
    <t>Geestland</t>
  </si>
  <si>
    <t>Dormagen</t>
  </si>
  <si>
    <t>Neuwied, Stadt</t>
  </si>
  <si>
    <t>Plauen ,Stadt</t>
  </si>
  <si>
    <t>Teutschenthal</t>
  </si>
  <si>
    <t>Schwentinental</t>
  </si>
  <si>
    <t>Eningen unter Achalm</t>
  </si>
  <si>
    <t>Fürstenfeldbruck, Stadt</t>
  </si>
  <si>
    <t>Rangsdorf</t>
  </si>
  <si>
    <t>Gladenbach</t>
  </si>
  <si>
    <t>Gehrden</t>
  </si>
  <si>
    <t>Dorsten</t>
  </si>
  <si>
    <t>Pirmasens</t>
  </si>
  <si>
    <t>Radeberg</t>
  </si>
  <si>
    <t>Thale</t>
  </si>
  <si>
    <t>Stockelsdorf</t>
  </si>
  <si>
    <t>Eppelheim</t>
  </si>
  <si>
    <t>Fürth, Stadt</t>
  </si>
  <si>
    <t>Rathenow</t>
  </si>
  <si>
    <t>Griesheim</t>
  </si>
  <si>
    <t>Georgsmarienhütte</t>
  </si>
  <si>
    <t>Dortmund</t>
  </si>
  <si>
    <t>Remagen</t>
  </si>
  <si>
    <t>Radebeul</t>
  </si>
  <si>
    <t>Wanzleben-Börde, Stadt</t>
  </si>
  <si>
    <t>Sylt</t>
  </si>
  <si>
    <t>Eppingen</t>
  </si>
  <si>
    <t>Füssen</t>
  </si>
  <si>
    <t>Rüdersdorf bei Berlin</t>
  </si>
  <si>
    <t>Groß-Gerau, Stadt</t>
  </si>
  <si>
    <t>Gifhorn, Stadt</t>
  </si>
  <si>
    <t>Drensteinfurt</t>
  </si>
  <si>
    <t>Schifferstadt</t>
  </si>
  <si>
    <t>Reichenbach/Vogtl.</t>
  </si>
  <si>
    <t>Weißenfels</t>
  </si>
  <si>
    <t>Tornesch</t>
  </si>
  <si>
    <t>Gaimersheim</t>
  </si>
  <si>
    <t>Schönefeld</t>
  </si>
  <si>
    <t>Groß-Umstadt</t>
  </si>
  <si>
    <t>Goldenstedt</t>
  </si>
  <si>
    <t>Drolshagen</t>
  </si>
  <si>
    <t>Sinzig</t>
  </si>
  <si>
    <t>Riesa</t>
  </si>
  <si>
    <t>Wernigerode</t>
  </si>
  <si>
    <t>Uetersen</t>
  </si>
  <si>
    <t>Esslingen am Neckar, Stadt</t>
  </si>
  <si>
    <t>Garching bei München</t>
  </si>
  <si>
    <t>Schöneiche bei Berlin</t>
  </si>
  <si>
    <t>Groß-Zimmern</t>
  </si>
  <si>
    <t>Goslar, Stadt</t>
  </si>
  <si>
    <t>Duisburg</t>
  </si>
  <si>
    <t>Speyer</t>
  </si>
  <si>
    <t>Schkeuditz</t>
  </si>
  <si>
    <t>Wettin-Löbejün</t>
  </si>
  <si>
    <t>Wedel</t>
  </si>
  <si>
    <t>Ettenheim</t>
  </si>
  <si>
    <t>Garmisch-Partenkirchen, Stadt</t>
  </si>
  <si>
    <t>Schwedt/Oder</t>
  </si>
  <si>
    <t>Grünberg</t>
  </si>
  <si>
    <t>Göttingen, Stadt</t>
  </si>
  <si>
    <t>Dülmen</t>
  </si>
  <si>
    <t>Trier, Stadt</t>
  </si>
  <si>
    <t>Schneeberg</t>
  </si>
  <si>
    <t>Wittenberg, Stadt</t>
  </si>
  <si>
    <t>Wentorf bei Hamburg</t>
  </si>
  <si>
    <t>Ettlingen</t>
  </si>
  <si>
    <t>Gauting</t>
  </si>
  <si>
    <t>Schwielowsee</t>
  </si>
  <si>
    <t>Gründau</t>
  </si>
  <si>
    <t>Gronau (Leine)</t>
  </si>
  <si>
    <t>Düren, Stadt</t>
  </si>
  <si>
    <t>Wittlich, Stadt</t>
  </si>
  <si>
    <t>Schwarzenberg/Erzgeb.</t>
  </si>
  <si>
    <t>Wolmirstedt</t>
  </si>
  <si>
    <t>Fellbach</t>
  </si>
  <si>
    <t>Geisenfeld</t>
  </si>
  <si>
    <t>Senftenberg</t>
  </si>
  <si>
    <t>Hadamar</t>
  </si>
  <si>
    <t>Großefehn</t>
  </si>
  <si>
    <t>Düsseldorf</t>
  </si>
  <si>
    <t>Worms, Stadt</t>
  </si>
  <si>
    <t>Stollberg/Erzgeb.</t>
  </si>
  <si>
    <t>Zeitz</t>
  </si>
  <si>
    <t>Filderstadt</t>
  </si>
  <si>
    <t>Gemünden am Main</t>
  </si>
  <si>
    <t>Spremberg</t>
  </si>
  <si>
    <t>Haiger</t>
  </si>
  <si>
    <t>Großenkneten</t>
  </si>
  <si>
    <t>Eitorf</t>
  </si>
  <si>
    <t>Wörth am Rhein</t>
  </si>
  <si>
    <t>Taucha</t>
  </si>
  <si>
    <t>Zerbst/Anhalt</t>
  </si>
  <si>
    <t>Freiberg am Neckar</t>
  </si>
  <si>
    <t>Geretsried</t>
  </si>
  <si>
    <t>Stahnsdorf</t>
  </si>
  <si>
    <t>Hainburg</t>
  </si>
  <si>
    <t>Hagen am Teutoburger Wald</t>
  </si>
  <si>
    <t>Elsdorf</t>
  </si>
  <si>
    <t>Zweibrücken</t>
  </si>
  <si>
    <t>Torgau</t>
  </si>
  <si>
    <t>Freiburg im Breisgau</t>
  </si>
  <si>
    <t>Germering</t>
  </si>
  <si>
    <t>Strausberg</t>
  </si>
  <si>
    <t>Hanau</t>
  </si>
  <si>
    <t>Hagen im Bremischen</t>
  </si>
  <si>
    <t>Emmerich am Rhein</t>
  </si>
  <si>
    <t>Weinböhla</t>
  </si>
  <si>
    <t>Freudenstadt, Stadt</t>
  </si>
  <si>
    <t>Gersthofen</t>
  </si>
  <si>
    <t>Teltow, Stadt</t>
  </si>
  <si>
    <t>Hattersheim am Main</t>
  </si>
  <si>
    <t>Hambühren</t>
  </si>
  <si>
    <t>Emsdetten</t>
  </si>
  <si>
    <t>Weißwasser/O.L.</t>
  </si>
  <si>
    <t>Friedrichshafen</t>
  </si>
  <si>
    <t>Gilching</t>
  </si>
  <si>
    <t>Templin</t>
  </si>
  <si>
    <t>Heppenheim (Bergstraße)</t>
  </si>
  <si>
    <t>Hameln, Stadt</t>
  </si>
  <si>
    <t>Engelskirchen</t>
  </si>
  <si>
    <t>Werdau</t>
  </si>
  <si>
    <t>Friesenheim</t>
  </si>
  <si>
    <t>Gräfelfing</t>
  </si>
  <si>
    <t>Velten</t>
  </si>
  <si>
    <t>Herborn</t>
  </si>
  <si>
    <t>Hann. Münden</t>
  </si>
  <si>
    <t>Enger</t>
  </si>
  <si>
    <t>Wilkau-Haßlau</t>
  </si>
  <si>
    <t>Gaggenau</t>
  </si>
  <si>
    <t>Grafing bei München</t>
  </si>
  <si>
    <t>Wandlitz</t>
  </si>
  <si>
    <t>Hessisch Lichtenau</t>
  </si>
  <si>
    <t>Hannover</t>
  </si>
  <si>
    <t>Ennepetal</t>
  </si>
  <si>
    <t>Wilsdruff</t>
  </si>
  <si>
    <t>Gaildorf</t>
  </si>
  <si>
    <t>Gröbenzell</t>
  </si>
  <si>
    <t>Werder (Havel)</t>
  </si>
  <si>
    <t>Heusenstamm</t>
  </si>
  <si>
    <t>Haren (Ems)</t>
  </si>
  <si>
    <t>Ennigerloh</t>
  </si>
  <si>
    <t>Wurzen</t>
  </si>
  <si>
    <t>Gärtringen</t>
  </si>
  <si>
    <t>Großostheim</t>
  </si>
  <si>
    <t>Wildau</t>
  </si>
  <si>
    <t>Hochheim am Main</t>
  </si>
  <si>
    <t>Harsefeld</t>
  </si>
  <si>
    <t>Ense</t>
  </si>
  <si>
    <t>Zittau</t>
  </si>
  <si>
    <t>Geislingen an der Steige</t>
  </si>
  <si>
    <t>Grünwald</t>
  </si>
  <si>
    <t>Wittenberge</t>
  </si>
  <si>
    <t>Höchst i. Odw.</t>
  </si>
  <si>
    <t>Harsum</t>
  </si>
  <si>
    <t>Erftstadt</t>
  </si>
  <si>
    <t>Zwickau, Stadt</t>
  </si>
  <si>
    <t>Gengenbach</t>
  </si>
  <si>
    <t>Günzburg, Stadt</t>
  </si>
  <si>
    <t>Wittstock/Dosse</t>
  </si>
  <si>
    <t>Hofgeismar</t>
  </si>
  <si>
    <t>Hasbergen</t>
  </si>
  <si>
    <t>Erkelenz</t>
  </si>
  <si>
    <t>Zwönitz</t>
  </si>
  <si>
    <t>Gerlingen</t>
  </si>
  <si>
    <t>Gunzenhausen, Stadt</t>
  </si>
  <si>
    <t>Zehdenick</t>
  </si>
  <si>
    <t>Hofheim am Taunus</t>
  </si>
  <si>
    <t>Haselünne</t>
  </si>
  <si>
    <t>Erkrath</t>
  </si>
  <si>
    <t>Gernsbach</t>
  </si>
  <si>
    <t>Haar</t>
  </si>
  <si>
    <t>Zeuthen</t>
  </si>
  <si>
    <t>Homberg (Efze)</t>
  </si>
  <si>
    <t>Hatten</t>
  </si>
  <si>
    <t>Erwitte</t>
  </si>
  <si>
    <t>Gerstetten</t>
  </si>
  <si>
    <t>Hallbergmoos</t>
  </si>
  <si>
    <t>Zossen</t>
  </si>
  <si>
    <t>Hünfeld</t>
  </si>
  <si>
    <t>Helmstedt, Stadt</t>
  </si>
  <si>
    <t>Eschweiler</t>
  </si>
  <si>
    <t>Giengen an der Brenz</t>
  </si>
  <si>
    <t>Hammelburg</t>
  </si>
  <si>
    <t>Hungen</t>
  </si>
  <si>
    <t>Hemmingen</t>
  </si>
  <si>
    <t>Espelkamp</t>
  </si>
  <si>
    <t>Göppingen, Stadt</t>
  </si>
  <si>
    <t>Haßfurt</t>
  </si>
  <si>
    <t>Hünstetten</t>
  </si>
  <si>
    <t>Herzberg am Harz</t>
  </si>
  <si>
    <t>Essen</t>
  </si>
  <si>
    <t>Gottmadingen</t>
  </si>
  <si>
    <t>Hauzenberg</t>
  </si>
  <si>
    <t>Hüttenberg</t>
  </si>
  <si>
    <t>Hessisch Oldendorf</t>
  </si>
  <si>
    <t>Euskirchen, Stadt</t>
  </si>
  <si>
    <t>Graben-Neudorf</t>
  </si>
  <si>
    <t>Herrsching a. Ammersee</t>
  </si>
  <si>
    <t>Idstein</t>
  </si>
  <si>
    <t>Hildesheim, Stadt</t>
  </si>
  <si>
    <t>Extertal</t>
  </si>
  <si>
    <t>Grenzach-Wyhlen</t>
  </si>
  <si>
    <t>Hersbruck</t>
  </si>
  <si>
    <t>Karben</t>
  </si>
  <si>
    <t>Hilter am Teutoburger Wald</t>
  </si>
  <si>
    <t>Finnentrop</t>
  </si>
  <si>
    <t>Gundelfingen</t>
  </si>
  <si>
    <t>Herzogenaurach</t>
  </si>
  <si>
    <t>Kassel, Stadt</t>
  </si>
  <si>
    <t>Holzminden, Stadt</t>
  </si>
  <si>
    <t>Frechen</t>
  </si>
  <si>
    <t>Haigerloch</t>
  </si>
  <si>
    <t>Hilpoltstein</t>
  </si>
  <si>
    <t>Kaufungen</t>
  </si>
  <si>
    <t>Hude (Oldenburg)</t>
  </si>
  <si>
    <t>Freudenberg</t>
  </si>
  <si>
    <t>Hechingen</t>
  </si>
  <si>
    <t>Hirschaid</t>
  </si>
  <si>
    <t>Kelkheim (Taunus)</t>
  </si>
  <si>
    <t>Ihlow</t>
  </si>
  <si>
    <t>Fröndenberg</t>
  </si>
  <si>
    <t>Heddesheim</t>
  </si>
  <si>
    <t>Höchstadt a. d. Aisch, Stadt</t>
  </si>
  <si>
    <t>Kelsterbach</t>
  </si>
  <si>
    <t>Ilsede</t>
  </si>
  <si>
    <t>Gangelt</t>
  </si>
  <si>
    <t>Heidelberg</t>
  </si>
  <si>
    <t>Hof, Stadt</t>
  </si>
  <si>
    <t>Kirchhain</t>
  </si>
  <si>
    <t>Isernhagen</t>
  </si>
  <si>
    <t>Geilenkirchen</t>
  </si>
  <si>
    <t>Heidenheim an der Brenz, Stadt</t>
  </si>
  <si>
    <t>Höhenkirchen-Siegertsbrunn</t>
  </si>
  <si>
    <t>Königstein im Taunus</t>
  </si>
  <si>
    <t>Jever</t>
  </si>
  <si>
    <t>Geldern</t>
  </si>
  <si>
    <t>Heilbronn, Stadt</t>
  </si>
  <si>
    <t>Holzkirchen</t>
  </si>
  <si>
    <t>Korbach</t>
  </si>
  <si>
    <t>Jork</t>
  </si>
  <si>
    <t>Gelsenkirchen</t>
  </si>
  <si>
    <t>Hemsbach</t>
  </si>
  <si>
    <t>Hösbach</t>
  </si>
  <si>
    <t>Kreis Bergstraße</t>
  </si>
  <si>
    <t>Kirchlinteln</t>
  </si>
  <si>
    <t>Gescher</t>
  </si>
  <si>
    <t>Herbolzheim</t>
  </si>
  <si>
    <t>Illertissen</t>
  </si>
  <si>
    <t>Kreis Darmstadt-Dieburg</t>
  </si>
  <si>
    <t>Königslutter am Elm</t>
  </si>
  <si>
    <t>Geseke</t>
  </si>
  <si>
    <t>Herbrechtingen</t>
  </si>
  <si>
    <t>Immenstadt i. Allgäu</t>
  </si>
  <si>
    <t>Kreis Fulda</t>
  </si>
  <si>
    <t>Kreis Aurich</t>
  </si>
  <si>
    <t>Gevelsberg</t>
  </si>
  <si>
    <t>Herrenberg</t>
  </si>
  <si>
    <t>Ingolstadt</t>
  </si>
  <si>
    <t>Kreis Gießen</t>
  </si>
  <si>
    <t>Kreis Celle</t>
  </si>
  <si>
    <t>Gladbeck</t>
  </si>
  <si>
    <t>Hockenheim</t>
  </si>
  <si>
    <t>Ismaning</t>
  </si>
  <si>
    <t>Kreis Groß-Gerau</t>
  </si>
  <si>
    <t>Kreis Cloppenburg</t>
  </si>
  <si>
    <t>Goch</t>
  </si>
  <si>
    <t>Holzgerlingen</t>
  </si>
  <si>
    <t>Karlsfeld</t>
  </si>
  <si>
    <t>Kreis Hersfeld-Rotenburg</t>
  </si>
  <si>
    <t>Kreis Cuxhaven</t>
  </si>
  <si>
    <t>Grefrath</t>
  </si>
  <si>
    <t>Horb am Neckar</t>
  </si>
  <si>
    <t>Karlstadt</t>
  </si>
  <si>
    <t>Kreis Hochtaunuskreis</t>
  </si>
  <si>
    <t>Kreis Diepholz</t>
  </si>
  <si>
    <t>Greven</t>
  </si>
  <si>
    <t>Isny im Allgäu</t>
  </si>
  <si>
    <t>Kaufbeuren</t>
  </si>
  <si>
    <t>Kreis Kassel</t>
  </si>
  <si>
    <t>Kreis Emsland</t>
  </si>
  <si>
    <t>Grevenbroich</t>
  </si>
  <si>
    <t>Karlsbad</t>
  </si>
  <si>
    <t>Kaufering</t>
  </si>
  <si>
    <t>Kreis Lahn-Dill-Kreis</t>
  </si>
  <si>
    <t>Kreis Friesland</t>
  </si>
  <si>
    <t>Gronau (Westfalen)</t>
  </si>
  <si>
    <t>Karlsdorf-Neuthard</t>
  </si>
  <si>
    <t>Kelheim, Stadt</t>
  </si>
  <si>
    <t>Kreis Limburg-Weilburg</t>
  </si>
  <si>
    <t>Kreis Gifhorn</t>
  </si>
  <si>
    <t>Gummersbach</t>
  </si>
  <si>
    <t>Karlsruhe, Stadt</t>
  </si>
  <si>
    <t>Kempten (Allgäu)</t>
  </si>
  <si>
    <t>Kreis Main-Kinzig-Kreis</t>
  </si>
  <si>
    <t>Kreis Goslar</t>
  </si>
  <si>
    <t>Gütersloh, Stadt</t>
  </si>
  <si>
    <t>Kehl</t>
  </si>
  <si>
    <t>Kirchheim bei München</t>
  </si>
  <si>
    <t>Kreis Main-Taunus-Kreis</t>
  </si>
  <si>
    <t>Kreis Göttingen</t>
  </si>
  <si>
    <t>Haan</t>
  </si>
  <si>
    <t>Kenzingen</t>
  </si>
  <si>
    <t>Kirchseeon</t>
  </si>
  <si>
    <t>Kreis Marburg-Biedenkopf</t>
  </si>
  <si>
    <t>Kreis Grafschaft Bentheim</t>
  </si>
  <si>
    <t>Hagen</t>
  </si>
  <si>
    <t>Kernen im Remstal</t>
  </si>
  <si>
    <t>Kissing</t>
  </si>
  <si>
    <t>Kreis Odenwaldkreis</t>
  </si>
  <si>
    <t>Kreis Hameln-Pyrmont</t>
  </si>
  <si>
    <t>Halle (Westfalen)</t>
  </si>
  <si>
    <t>Ketsch</t>
  </si>
  <si>
    <t>Kitzingen, Stadt</t>
  </si>
  <si>
    <t>Kreis Offenbach</t>
  </si>
  <si>
    <t>Kreis Harburg</t>
  </si>
  <si>
    <t>Haltern am See</t>
  </si>
  <si>
    <t>Kirchheim unter Teck</t>
  </si>
  <si>
    <t>Kolbermoor</t>
  </si>
  <si>
    <t>Kreis Rheingau-Taunus-Kreis</t>
  </si>
  <si>
    <t>Kreis Heidekreis</t>
  </si>
  <si>
    <t>Halver</t>
  </si>
  <si>
    <t>Köngen</t>
  </si>
  <si>
    <t>Königsbrunn</t>
  </si>
  <si>
    <t>Kreis Schwalm-Eder-Kreis</t>
  </si>
  <si>
    <t>Kreis Helmstedt</t>
  </si>
  <si>
    <t>Hamm</t>
  </si>
  <si>
    <t>Konstanz, Stadt</t>
  </si>
  <si>
    <t>Kreis Aichach-Friedberg</t>
  </si>
  <si>
    <t>Kreis Vogelsbergkreis</t>
  </si>
  <si>
    <t>Kreis Hildesheim</t>
  </si>
  <si>
    <t>Hamminkeln</t>
  </si>
  <si>
    <t>Korb</t>
  </si>
  <si>
    <t>Kreis Altötting</t>
  </si>
  <si>
    <t>Kreis Waldeck-Frankenberg</t>
  </si>
  <si>
    <t>Kreis Holzminden</t>
  </si>
  <si>
    <t>Harsewinkel</t>
  </si>
  <si>
    <t>Korntal-Münchingen</t>
  </si>
  <si>
    <t>Kreis Amberg-Sulzbach</t>
  </si>
  <si>
    <t>Kreis Werra-Meißner-Kreis</t>
  </si>
  <si>
    <t>Kreis Leer</t>
  </si>
  <si>
    <t>Hattingen</t>
  </si>
  <si>
    <t>Kornwestheim</t>
  </si>
  <si>
    <t>Kreis Ansbach</t>
  </si>
  <si>
    <t>Kreis Wetteraukreis</t>
  </si>
  <si>
    <t>Kreis Lüchow-Dannenberg</t>
  </si>
  <si>
    <t>Havixbeck</t>
  </si>
  <si>
    <t>Kraichtal</t>
  </si>
  <si>
    <t>Kreis Aschaffenburg</t>
  </si>
  <si>
    <t>Kriftel</t>
  </si>
  <si>
    <t>Kreis Lüneburg</t>
  </si>
  <si>
    <t>Heiligenhaus</t>
  </si>
  <si>
    <t>Kreis Alb-Donau-Kreis</t>
  </si>
  <si>
    <t>Kreis Augsburg</t>
  </si>
  <si>
    <t>Kronberg im Taunus</t>
  </si>
  <si>
    <t>Kreis Nienburg (Weser)</t>
  </si>
  <si>
    <t>Heinsberg, Stadt</t>
  </si>
  <si>
    <t>Kreis Biberach</t>
  </si>
  <si>
    <t>Kreis Bad Kissingen</t>
  </si>
  <si>
    <t>Künzell</t>
  </si>
  <si>
    <t>Kreis Northeim</t>
  </si>
  <si>
    <t>Hemer</t>
  </si>
  <si>
    <t>Kreis Böblingen</t>
  </si>
  <si>
    <t>Kreis Bad Tölz-Wolfratshausen</t>
  </si>
  <si>
    <t>Lampertheim</t>
  </si>
  <si>
    <t>Kreis Oldenburg</t>
  </si>
  <si>
    <t>Hennef (Sieg)</t>
  </si>
  <si>
    <t>Kreis Bodenseekreis</t>
  </si>
  <si>
    <t>Kreis Bamberg</t>
  </si>
  <si>
    <t>Langen (Hessen)</t>
  </si>
  <si>
    <t>Kreis Osnabrück</t>
  </si>
  <si>
    <t>Herdecke</t>
  </si>
  <si>
    <t>Kreis Breisgau-Hochschwarzwald</t>
  </si>
  <si>
    <t>Kreis Bayreuth</t>
  </si>
  <si>
    <t>Langenselbold</t>
  </si>
  <si>
    <t>Kreis Osterholz</t>
  </si>
  <si>
    <t>Herford, Stadt</t>
  </si>
  <si>
    <t>Kreis Calw</t>
  </si>
  <si>
    <t>Kreis Berchtesgadener Land</t>
  </si>
  <si>
    <t>Langgöns</t>
  </si>
  <si>
    <t>Kreis Osterode am Harz</t>
  </si>
  <si>
    <t>Herne</t>
  </si>
  <si>
    <t>Kreis Emmendingen</t>
  </si>
  <si>
    <t>Kreis Cham</t>
  </si>
  <si>
    <t>Lauterbach (Hessen)</t>
  </si>
  <si>
    <t>Kreis Peine</t>
  </si>
  <si>
    <t>Herten</t>
  </si>
  <si>
    <t>Kreis Enzkreis</t>
  </si>
  <si>
    <t>Kreis Coburg</t>
  </si>
  <si>
    <t>Lich</t>
  </si>
  <si>
    <t>Kreis Rotenburg (Wümme)</t>
  </si>
  <si>
    <t>Herzebrock-Clarholz</t>
  </si>
  <si>
    <t>Kreis Esslingen</t>
  </si>
  <si>
    <t>Kreis Dachau</t>
  </si>
  <si>
    <t>Limburg a. d. Lahn, Stadt</t>
  </si>
  <si>
    <t>Kreis Schaumburg</t>
  </si>
  <si>
    <t>Herzogenrath</t>
  </si>
  <si>
    <t>Kreis Freudenstadt</t>
  </si>
  <si>
    <t>Kreis Deggendorf</t>
  </si>
  <si>
    <t>Linden</t>
  </si>
  <si>
    <t>Kreis Stade</t>
  </si>
  <si>
    <t>Hiddenhausen</t>
  </si>
  <si>
    <t>Kreis Göppingen</t>
  </si>
  <si>
    <t>Kreis Dillingen a. d. Donau</t>
  </si>
  <si>
    <t>Lohfelden</t>
  </si>
  <si>
    <t>Kreis Uelzen</t>
  </si>
  <si>
    <t>Hilchenbach</t>
  </si>
  <si>
    <t>Kreis Heidenheim</t>
  </si>
  <si>
    <t>Kreis Dingolfing-Landau</t>
  </si>
  <si>
    <t>Lollar</t>
  </si>
  <si>
    <t>Kreis Vechta</t>
  </si>
  <si>
    <t>Hilden</t>
  </si>
  <si>
    <t>Kreis Heilbronn</t>
  </si>
  <si>
    <t>Kreis Donau-Ries</t>
  </si>
  <si>
    <t>Lorsch</t>
  </si>
  <si>
    <t>Kreis Verden</t>
  </si>
  <si>
    <t>Hille</t>
  </si>
  <si>
    <t>Kreis Hohenlohekreis</t>
  </si>
  <si>
    <t>Kreis Ebersberg</t>
  </si>
  <si>
    <t>Maintal</t>
  </si>
  <si>
    <t>Kreis Wesermarsch</t>
  </si>
  <si>
    <t>Holzwickede</t>
  </si>
  <si>
    <t>Kreis Karlsruhe</t>
  </si>
  <si>
    <t>Kreis Eichstätt</t>
  </si>
  <si>
    <t>Marburg, Stadt</t>
  </si>
  <si>
    <t>Kreis Wittmund</t>
  </si>
  <si>
    <t>Horn-Bad Meinberg</t>
  </si>
  <si>
    <t>Kreis Konstanz</t>
  </si>
  <si>
    <t>Kreis Erding</t>
  </si>
  <si>
    <t>Melsungen</t>
  </si>
  <si>
    <t>Kreis Wolfenbüttel</t>
  </si>
  <si>
    <t>Hörstel</t>
  </si>
  <si>
    <t>Kreis Lörrach</t>
  </si>
  <si>
    <t>Kreis Erlangen-Höchstadt</t>
  </si>
  <si>
    <t>Michelstadt</t>
  </si>
  <si>
    <t>Krummhörn</t>
  </si>
  <si>
    <t>Hövelhof</t>
  </si>
  <si>
    <t>Kreis Ludwigsburg</t>
  </si>
  <si>
    <t>Kreis Forchheim</t>
  </si>
  <si>
    <t>Mörfelden-Walldorf</t>
  </si>
  <si>
    <t>Laatzen</t>
  </si>
  <si>
    <t>Höxter, Stadt</t>
  </si>
  <si>
    <t>Kreis Main-Tauber-Kreis</t>
  </si>
  <si>
    <t>Kreis Freising</t>
  </si>
  <si>
    <t>Mörlenbach</t>
  </si>
  <si>
    <t>Langelsheim</t>
  </si>
  <si>
    <t>Hückelhoven</t>
  </si>
  <si>
    <t>Kreis Neckar-Odenwald-Kreis</t>
  </si>
  <si>
    <t>Kreis Freyung-Grafenau</t>
  </si>
  <si>
    <t>Mühlheim am Main</t>
  </si>
  <si>
    <t>Langen</t>
  </si>
  <si>
    <t>Hückeswagen</t>
  </si>
  <si>
    <t>Kreis Ortenaukreis</t>
  </si>
  <si>
    <t>Kreis Fürstenfeldbruck</t>
  </si>
  <si>
    <t>Mühltal</t>
  </si>
  <si>
    <t>Langenhagen</t>
  </si>
  <si>
    <t>Hüllhorst</t>
  </si>
  <si>
    <t>Kreis Ostalbkreis</t>
  </si>
  <si>
    <t>Kreis Fürth</t>
  </si>
  <si>
    <t>Münster (Hessen)</t>
  </si>
  <si>
    <t>Langwedel</t>
  </si>
  <si>
    <t>Hünxe</t>
  </si>
  <si>
    <t>Kreis Rastatt</t>
  </si>
  <si>
    <t>Kreis Garmisch-Partenkirchen</t>
  </si>
  <si>
    <t>Nauheim</t>
  </si>
  <si>
    <t>Leer (Ostfriesland), Stadt</t>
  </si>
  <si>
    <t>Hürth</t>
  </si>
  <si>
    <t>Kreis Ravensburg</t>
  </si>
  <si>
    <t>Kreis Günzburg</t>
  </si>
  <si>
    <t>Neu-Anspach</t>
  </si>
  <si>
    <t>Lehre</t>
  </si>
  <si>
    <t>Ibbenbüren</t>
  </si>
  <si>
    <t>Kreis Rems-Murr-Kreis</t>
  </si>
  <si>
    <t>Kreis Haßberge</t>
  </si>
  <si>
    <t>Neuhof</t>
  </si>
  <si>
    <t>Lehrte</t>
  </si>
  <si>
    <t>Iserlohn</t>
  </si>
  <si>
    <t>Kreis Reutlingen</t>
  </si>
  <si>
    <t>Kreis Hof</t>
  </si>
  <si>
    <t>Neu-Isenburg</t>
  </si>
  <si>
    <t>Lengede</t>
  </si>
  <si>
    <t>Isselburg</t>
  </si>
  <si>
    <t>Kreis Rhein-Neckar-Kreis</t>
  </si>
  <si>
    <t>Kreis Kelheim</t>
  </si>
  <si>
    <t>Nidda</t>
  </si>
  <si>
    <t>Lilienthal</t>
  </si>
  <si>
    <t>Issum</t>
  </si>
  <si>
    <t>Kreis Rottweil</t>
  </si>
  <si>
    <t>Kreis Kitzingen</t>
  </si>
  <si>
    <t>Nidderau</t>
  </si>
  <si>
    <t>Lingen (Ems)</t>
  </si>
  <si>
    <t>Jüchen</t>
  </si>
  <si>
    <t>Kreis Schwäbisch-Hall</t>
  </si>
  <si>
    <t>Kreis Kronach</t>
  </si>
  <si>
    <t>Niedernhausen</t>
  </si>
  <si>
    <t>Lohne (Oldenburg)</t>
  </si>
  <si>
    <t>Jülich</t>
  </si>
  <si>
    <t>Kreis Schwarzwald-Baar-Kreis</t>
  </si>
  <si>
    <t>Kreis Kulmbach</t>
  </si>
  <si>
    <t>Niestetal</t>
  </si>
  <si>
    <t>Löningen</t>
  </si>
  <si>
    <t>Kaarst</t>
  </si>
  <si>
    <t>Kreis Sigmaringen</t>
  </si>
  <si>
    <t>Kreis Landsberg a. Lech</t>
  </si>
  <si>
    <t>Ober-Ramstadt</t>
  </si>
  <si>
    <t>Loxstedt</t>
  </si>
  <si>
    <t>Kalkar</t>
  </si>
  <si>
    <t>Kreis Tübingen</t>
  </si>
  <si>
    <t>Kreis Landshut</t>
  </si>
  <si>
    <t>Obertshausen</t>
  </si>
  <si>
    <t>Lüneburg, Stadt</t>
  </si>
  <si>
    <t>Kall</t>
  </si>
  <si>
    <t>Kreis Tuttlingen</t>
  </si>
  <si>
    <t>Kreis Lichtenfels</t>
  </si>
  <si>
    <t>Oberursel (Taunus)</t>
  </si>
  <si>
    <t>Melle</t>
  </si>
  <si>
    <t>Kalletal</t>
  </si>
  <si>
    <t>Kreis Waldshut</t>
  </si>
  <si>
    <t>Kreis Lindau (Bodensee)</t>
  </si>
  <si>
    <t>Oberzent</t>
  </si>
  <si>
    <t>Meppen</t>
  </si>
  <si>
    <t>Kamen</t>
  </si>
  <si>
    <t>Kreis Zollernalbkreis</t>
  </si>
  <si>
    <t>Kreis Main-Spessart</t>
  </si>
  <si>
    <t>Oestrich-Winkel</t>
  </si>
  <si>
    <t>Moormerland</t>
  </si>
  <si>
    <t>Kamp-Lintfort</t>
  </si>
  <si>
    <t>Künzelsau</t>
  </si>
  <si>
    <t>Kreis Miesbach</t>
  </si>
  <si>
    <t>Offenbach am Main, Stadt</t>
  </si>
  <si>
    <t>Munster</t>
  </si>
  <si>
    <t>Kempen</t>
  </si>
  <si>
    <t>Ladenburg</t>
  </si>
  <si>
    <t>Kreis Miltenberg</t>
  </si>
  <si>
    <t>Petersberg</t>
  </si>
  <si>
    <t>Neu Wulmstorf</t>
  </si>
  <si>
    <t>Kerken</t>
  </si>
  <si>
    <t>Lahr/Schwarzwald</t>
  </si>
  <si>
    <t>Kreis Mühldorf a. Inn</t>
  </si>
  <si>
    <t>Pfungstadt</t>
  </si>
  <si>
    <t>Neustadt am Rübenberge</t>
  </si>
  <si>
    <t>Kerpen</t>
  </si>
  <si>
    <t>Laichingen</t>
  </si>
  <si>
    <t>Kreis München</t>
  </si>
  <si>
    <t>Pohlheim</t>
  </si>
  <si>
    <t>Nienburg (Weser), Stadt</t>
  </si>
  <si>
    <t>Kevelaer</t>
  </si>
  <si>
    <t>Langenau</t>
  </si>
  <si>
    <t>Kreis Neuburg-Schrobenhausen</t>
  </si>
  <si>
    <t>Raunheim</t>
  </si>
  <si>
    <t>Norden</t>
  </si>
  <si>
    <t>Kierspe</t>
  </si>
  <si>
    <t>Lauda-Königshofen</t>
  </si>
  <si>
    <t>Kreis Neumarkt i. d. Oberpfalz</t>
  </si>
  <si>
    <t>Reinheim</t>
  </si>
  <si>
    <t>Nordenham</t>
  </si>
  <si>
    <t>Kirchhundem</t>
  </si>
  <si>
    <t>Lauffen am Neckar</t>
  </si>
  <si>
    <t>Kreis Neustadt a. d. Waldnaab</t>
  </si>
  <si>
    <t>Reiskirchen</t>
  </si>
  <si>
    <t>Nordhorn</t>
  </si>
  <si>
    <t>Kirchlengern</t>
  </si>
  <si>
    <t>Laupheim</t>
  </si>
  <si>
    <t>Kreis Neustadt/Aisch-Bad Windsheim</t>
  </si>
  <si>
    <t>Riedstadt</t>
  </si>
  <si>
    <t>Nordstemmen</t>
  </si>
  <si>
    <t>Kleve, Stadt</t>
  </si>
  <si>
    <t>Leimen</t>
  </si>
  <si>
    <t>Kreis Neu-Ulm</t>
  </si>
  <si>
    <t>Rodenbach</t>
  </si>
  <si>
    <t>Northeim, Stadt</t>
  </si>
  <si>
    <t>Köln</t>
  </si>
  <si>
    <t>Leinfelden-Echterdingen</t>
  </si>
  <si>
    <t>Kreis Nürnberger Land</t>
  </si>
  <si>
    <t>Rödermark</t>
  </si>
  <si>
    <t>Oldenburg, Stadt</t>
  </si>
  <si>
    <t>Königswinter</t>
  </si>
  <si>
    <t>Leingarten</t>
  </si>
  <si>
    <t>Kreis Oberallgäu</t>
  </si>
  <si>
    <t>Rodgau</t>
  </si>
  <si>
    <t>Osnabrück, Stadt</t>
  </si>
  <si>
    <t>Korschenbroich</t>
  </si>
  <si>
    <t>Leonberg</t>
  </si>
  <si>
    <t>Kreis Ostallgäu</t>
  </si>
  <si>
    <t>Rosbach v. d. Höhe</t>
  </si>
  <si>
    <t>Osterholz-Scharmbeck, Stadt</t>
  </si>
  <si>
    <t>Kranenburg</t>
  </si>
  <si>
    <t>Leutenbach</t>
  </si>
  <si>
    <t>Kreis Passau</t>
  </si>
  <si>
    <t>Roßdorf</t>
  </si>
  <si>
    <t>Osterode am Harz, Stadt</t>
  </si>
  <si>
    <t>Krefeld</t>
  </si>
  <si>
    <t>Leutkirch im Allgäu</t>
  </si>
  <si>
    <t>Kreis Pfaffenhofen a. d. Ilm</t>
  </si>
  <si>
    <t>Rotenburg a. d. Fulda, Stadt</t>
  </si>
  <si>
    <t>Ostrhauderfehn</t>
  </si>
  <si>
    <t>Kreis Borken</t>
  </si>
  <si>
    <t>Linkenheim-Hochstetten</t>
  </si>
  <si>
    <t>Kreis Regen</t>
  </si>
  <si>
    <t>Rüsselsheim am Main</t>
  </si>
  <si>
    <t>Ottersberg</t>
  </si>
  <si>
    <t>Kreis Coesfeld</t>
  </si>
  <si>
    <t>Lorch</t>
  </si>
  <si>
    <t>Kreis Regensburg</t>
  </si>
  <si>
    <t>Schauenburg</t>
  </si>
  <si>
    <t>Oyten</t>
  </si>
  <si>
    <t>Kreis Düren</t>
  </si>
  <si>
    <t>Lörrach, Stadt</t>
  </si>
  <si>
    <t>Kreis Rhön-Grabfeld</t>
  </si>
  <si>
    <t>Schlüchtern</t>
  </si>
  <si>
    <t>Papenburg</t>
  </si>
  <si>
    <t>Kreis Ennepe-Ruhr-Kreis</t>
  </si>
  <si>
    <t>Ludwigsburg, Stadt</t>
  </si>
  <si>
    <t>Kreis Rosenheim</t>
  </si>
  <si>
    <t>Schöneck</t>
  </si>
  <si>
    <t>Pattensen</t>
  </si>
  <si>
    <t>Kreis Euskirchen</t>
  </si>
  <si>
    <t>Malsch</t>
  </si>
  <si>
    <t>Kreis Roth</t>
  </si>
  <si>
    <t>Schotten</t>
  </si>
  <si>
    <t>Peine, Stadt</t>
  </si>
  <si>
    <t>Kreis Gütersloh</t>
  </si>
  <si>
    <t>Mannheim</t>
  </si>
  <si>
    <t>Kreis Rottal-Inn</t>
  </si>
  <si>
    <t>Schwalbach am Taunus</t>
  </si>
  <si>
    <t>Quakenbrück</t>
  </si>
  <si>
    <t>Kreis Heinsberg</t>
  </si>
  <si>
    <t>Marbach am Neckar</t>
  </si>
  <si>
    <t>Kreis Schwandorf</t>
  </si>
  <si>
    <t>Schwalmstadt</t>
  </si>
  <si>
    <t>Rastede</t>
  </si>
  <si>
    <t>Kreis Herford</t>
  </si>
  <si>
    <t>Markdorf</t>
  </si>
  <si>
    <t>Kreis Schweinfurt</t>
  </si>
  <si>
    <t>Seeheim-Jugenheim</t>
  </si>
  <si>
    <t>Rehburg-Loccum</t>
  </si>
  <si>
    <t>Kreis Hochsauerlandkreis</t>
  </si>
  <si>
    <t>Markgröningen</t>
  </si>
  <si>
    <t>Kreis Starnberg</t>
  </si>
  <si>
    <t>Seligenstadt</t>
  </si>
  <si>
    <t>Rhauderfehn</t>
  </si>
  <si>
    <t>Kreis Höxter</t>
  </si>
  <si>
    <t>Meckenbeuren</t>
  </si>
  <si>
    <t>Kreis Straubing-Bogen</t>
  </si>
  <si>
    <t>Solms</t>
  </si>
  <si>
    <t>Rinteln</t>
  </si>
  <si>
    <t>Kreis Kleve</t>
  </si>
  <si>
    <t>Meßstetten</t>
  </si>
  <si>
    <t>Kreis Tirschenreuth</t>
  </si>
  <si>
    <t>Stadtallendorf</t>
  </si>
  <si>
    <t>Ritterhude</t>
  </si>
  <si>
    <t>Kreis Lippe</t>
  </si>
  <si>
    <t>Metzingen</t>
  </si>
  <si>
    <t>Kreis Traunstein</t>
  </si>
  <si>
    <t>Steinau an der Straße</t>
  </si>
  <si>
    <t>Ronnenberg</t>
  </si>
  <si>
    <t>Kreis Märkischer Kreis</t>
  </si>
  <si>
    <t>Möglingen</t>
  </si>
  <si>
    <t>Kreis Unterallgäu</t>
  </si>
  <si>
    <t>Steinbach (Taunus)</t>
  </si>
  <si>
    <t>Rosdorf</t>
  </si>
  <si>
    <t>Kreis Paderborn</t>
  </si>
  <si>
    <t>Mosbach</t>
  </si>
  <si>
    <t>Kreis Weilheim-Schongau</t>
  </si>
  <si>
    <t>Taunusstein</t>
  </si>
  <si>
    <t>Rosengarten</t>
  </si>
  <si>
    <t>Kreis Siegen-Wittgenstein</t>
  </si>
  <si>
    <t>Mössingen</t>
  </si>
  <si>
    <t>Kreis Weißenburg-Gunzenhausen</t>
  </si>
  <si>
    <t>Trebur</t>
  </si>
  <si>
    <t>Rotenburg (Wümme), Stadt</t>
  </si>
  <si>
    <t>Kreis Städteregion Aachen</t>
  </si>
  <si>
    <t>Mühlacker</t>
  </si>
  <si>
    <t>Kreis Wunsiedel im Fichtelgebirge</t>
  </si>
  <si>
    <t>Usingen</t>
  </si>
  <si>
    <t>Salzgitter</t>
  </si>
  <si>
    <t>Kreis Steinfurt</t>
  </si>
  <si>
    <t>Müllheim</t>
  </si>
  <si>
    <t>Kreis Würzburg</t>
  </si>
  <si>
    <t>Vellmar</t>
  </si>
  <si>
    <t>Sarstedt</t>
  </si>
  <si>
    <t>Kreis Warendorf</t>
  </si>
  <si>
    <t>Münsingen</t>
  </si>
  <si>
    <t>Kronach, Stadt</t>
  </si>
  <si>
    <t>Viernheim</t>
  </si>
  <si>
    <t>Sassenburg</t>
  </si>
  <si>
    <t>Kreis Wesel</t>
  </si>
  <si>
    <t>Murrhardt</t>
  </si>
  <si>
    <t>Krumbach (Schwaben)</t>
  </si>
  <si>
    <t>Wächtersbach</t>
  </si>
  <si>
    <t>Saterland</t>
  </si>
  <si>
    <t>Kreuzau</t>
  </si>
  <si>
    <t>Nagold</t>
  </si>
  <si>
    <t>Kulmbach, Stadt</t>
  </si>
  <si>
    <t>Wald-Michelbach</t>
  </si>
  <si>
    <t>Scheessel</t>
  </si>
  <si>
    <t>Kreuztal</t>
  </si>
  <si>
    <t>Neckargemünd</t>
  </si>
  <si>
    <t>Landau an der Isar, Stadt</t>
  </si>
  <si>
    <t>Weilburg, Stadt</t>
  </si>
  <si>
    <t>Schiffdorf</t>
  </si>
  <si>
    <t>Kürten</t>
  </si>
  <si>
    <t>Neckarsulm</t>
  </si>
  <si>
    <t>Landsberg a. Lech, Stadt</t>
  </si>
  <si>
    <t>Weiterstadt</t>
  </si>
  <si>
    <t>Schneverdingen</t>
  </si>
  <si>
    <t>Lage</t>
  </si>
  <si>
    <t>Neuenburg am Rhein</t>
  </si>
  <si>
    <t>Landshut, Stadt</t>
  </si>
  <si>
    <t>Wettenberg</t>
  </si>
  <si>
    <t>Schöningen</t>
  </si>
  <si>
    <t>Langenfeld (Rheinland)</t>
  </si>
  <si>
    <t>Neuhausen auf den Fildern</t>
  </si>
  <si>
    <t>Langenzenn</t>
  </si>
  <si>
    <t>Wetzlar</t>
  </si>
  <si>
    <t>Schortens</t>
  </si>
  <si>
    <t>Langerwehe</t>
  </si>
  <si>
    <t>Niefern-Öschelbronn</t>
  </si>
  <si>
    <t>Lappersdorf</t>
  </si>
  <si>
    <t>Wiesbaden</t>
  </si>
  <si>
    <t>Schüttorf</t>
  </si>
  <si>
    <t>Leichlingen (Rheinland)</t>
  </si>
  <si>
    <t>Nürtingen</t>
  </si>
  <si>
    <t>Lauf a. d. Pegnitz</t>
  </si>
  <si>
    <t>Witzenhausen</t>
  </si>
  <si>
    <t>Schwanewede</t>
  </si>
  <si>
    <t>Lemgo</t>
  </si>
  <si>
    <t>Nußloch</t>
  </si>
  <si>
    <t>Lauingen (Donau)</t>
  </si>
  <si>
    <t>Wolfhagen</t>
  </si>
  <si>
    <t>Seelze</t>
  </si>
  <si>
    <t>Lengerich</t>
  </si>
  <si>
    <t>Oberderdingen</t>
  </si>
  <si>
    <t>Lenggries</t>
  </si>
  <si>
    <t>Seesen</t>
  </si>
  <si>
    <t>Lennestadt</t>
  </si>
  <si>
    <t>Oberkirch</t>
  </si>
  <si>
    <t>Lichtenfels, Stadt</t>
  </si>
  <si>
    <t>Seevetal</t>
  </si>
  <si>
    <t>Leopoldshöhe</t>
  </si>
  <si>
    <t>Oberndorf am Neckar</t>
  </si>
  <si>
    <t>Lindau (Bodensee), Stadt</t>
  </si>
  <si>
    <t>Sehnde</t>
  </si>
  <si>
    <t>Leverkusen</t>
  </si>
  <si>
    <t>Obersulm</t>
  </si>
  <si>
    <t>Lindenberg i. Allgäu</t>
  </si>
  <si>
    <t>Soltau</t>
  </si>
  <si>
    <t>Lichtenau</t>
  </si>
  <si>
    <t>Offenburg</t>
  </si>
  <si>
    <t>Lohr am Main</t>
  </si>
  <si>
    <t>Springe</t>
  </si>
  <si>
    <t>Lindlar</t>
  </si>
  <si>
    <t>Oftersheim</t>
  </si>
  <si>
    <t>Mainburg</t>
  </si>
  <si>
    <t>Stade, Stadt</t>
  </si>
  <si>
    <t>Linnich</t>
  </si>
  <si>
    <t>Öhringen</t>
  </si>
  <si>
    <t>Maisach</t>
  </si>
  <si>
    <t>Stadthagen</t>
  </si>
  <si>
    <t>Lippetal</t>
  </si>
  <si>
    <t>Ostfildern</t>
  </si>
  <si>
    <t>Manching</t>
  </si>
  <si>
    <t>Steinfeld (Oldenburg)</t>
  </si>
  <si>
    <t>Lippstadt</t>
  </si>
  <si>
    <t>Östringen</t>
  </si>
  <si>
    <t>Markt Indersdorf</t>
  </si>
  <si>
    <t>Stelle</t>
  </si>
  <si>
    <t>Lohmar</t>
  </si>
  <si>
    <t>Pfinztal</t>
  </si>
  <si>
    <t>Markt Schwaben</t>
  </si>
  <si>
    <t>Stuhr</t>
  </si>
  <si>
    <t>Löhne</t>
  </si>
  <si>
    <t>Pforzheim</t>
  </si>
  <si>
    <t>Marktheidenfeld</t>
  </si>
  <si>
    <t>Südbrookmerland</t>
  </si>
  <si>
    <t>Lotte</t>
  </si>
  <si>
    <t>Pfullendorf</t>
  </si>
  <si>
    <t>Marktoberdorf</t>
  </si>
  <si>
    <t>Südheide</t>
  </si>
  <si>
    <t>Lübbecke</t>
  </si>
  <si>
    <t>Pfullingen</t>
  </si>
  <si>
    <t>Marktredwitz</t>
  </si>
  <si>
    <t>Sulingen</t>
  </si>
  <si>
    <t>Lüdenscheid</t>
  </si>
  <si>
    <t>Philippsburg</t>
  </si>
  <si>
    <t>Maxhütte-Haidhof</t>
  </si>
  <si>
    <t>Syke</t>
  </si>
  <si>
    <t>Lüdinghausen</t>
  </si>
  <si>
    <t>Plankstadt</t>
  </si>
  <si>
    <t>Meitingen</t>
  </si>
  <si>
    <t>Tostedt</t>
  </si>
  <si>
    <t>Lünen</t>
  </si>
  <si>
    <t>Plochingen</t>
  </si>
  <si>
    <t>Memmingen</t>
  </si>
  <si>
    <t>Twistringen</t>
  </si>
  <si>
    <t>Marienheide</t>
  </si>
  <si>
    <t>Radolfzell am Bodensee</t>
  </si>
  <si>
    <t>Mering</t>
  </si>
  <si>
    <t>Uelzen, Stadt</t>
  </si>
  <si>
    <t>Marl</t>
  </si>
  <si>
    <t>Rastatt, Stadt</t>
  </si>
  <si>
    <t>Miesbach, Stadt</t>
  </si>
  <si>
    <t>Uetze</t>
  </si>
  <si>
    <t>Marsberg</t>
  </si>
  <si>
    <t>Ravensburg, Stadt</t>
  </si>
  <si>
    <t>Mindelheim</t>
  </si>
  <si>
    <t>Uplengen</t>
  </si>
  <si>
    <t>Mechernich</t>
  </si>
  <si>
    <t>Remchingen</t>
  </si>
  <si>
    <t>Mömbris</t>
  </si>
  <si>
    <t>Uslar</t>
  </si>
  <si>
    <t>Meckenheim</t>
  </si>
  <si>
    <t>Remseck am Neckar</t>
  </si>
  <si>
    <t>Moosburg an der Isar</t>
  </si>
  <si>
    <t>Varel</t>
  </si>
  <si>
    <t>Meerbusch</t>
  </si>
  <si>
    <t>Remshalden</t>
  </si>
  <si>
    <t>Mühldorf am Inn, Stadt</t>
  </si>
  <si>
    <t>Vechelde</t>
  </si>
  <si>
    <t>Meinerzhagen</t>
  </si>
  <si>
    <t>Renningen</t>
  </si>
  <si>
    <t>Münchberg</t>
  </si>
  <si>
    <t>Vechta, Stadt</t>
  </si>
  <si>
    <t>Menden (Sauerland)</t>
  </si>
  <si>
    <t>Reutlingen, Stadt</t>
  </si>
  <si>
    <t>München, Stadt</t>
  </si>
  <si>
    <t>Verden (Aller), Stadt</t>
  </si>
  <si>
    <t>Meschede</t>
  </si>
  <si>
    <t>Rheinau</t>
  </si>
  <si>
    <t>Murnau am Staffelsee</t>
  </si>
  <si>
    <t>Wallenhorst</t>
  </si>
  <si>
    <t>Mettingen</t>
  </si>
  <si>
    <t>Rheinfelden (Baden)</t>
  </si>
  <si>
    <t>Neubiberg</t>
  </si>
  <si>
    <t>Walsrode</t>
  </si>
  <si>
    <t>Mettmann</t>
  </si>
  <si>
    <t>Rheinstetten</t>
  </si>
  <si>
    <t>Neuburg an der Donau, Stadt</t>
  </si>
  <si>
    <t>Wardenburg</t>
  </si>
  <si>
    <t>Minden</t>
  </si>
  <si>
    <t>Riedlingen</t>
  </si>
  <si>
    <t>Neufahrn bei Freising</t>
  </si>
  <si>
    <t>Wedemark</t>
  </si>
  <si>
    <t>Moers</t>
  </si>
  <si>
    <t>Rielasingen-Worblingen</t>
  </si>
  <si>
    <t>Neumarkt i. d. OPf., Stadt</t>
  </si>
  <si>
    <t>Weener</t>
  </si>
  <si>
    <t>Möhnesee</t>
  </si>
  <si>
    <t>Rottenburg am Neckar</t>
  </si>
  <si>
    <t>Neusäß</t>
  </si>
  <si>
    <t>Wendeburg</t>
  </si>
  <si>
    <t>Mönchengladbach</t>
  </si>
  <si>
    <t>Rottweil, Stadt</t>
  </si>
  <si>
    <t>Neustadt an der Aisch, Stadt</t>
  </si>
  <si>
    <t>Wennigsen (Deister)</t>
  </si>
  <si>
    <t>Monheim am Rhein</t>
  </si>
  <si>
    <t>Rudersberg</t>
  </si>
  <si>
    <t>Neustadt an der Donau</t>
  </si>
  <si>
    <t>Werlte</t>
  </si>
  <si>
    <t>Monschau</t>
  </si>
  <si>
    <t>Rutesheim</t>
  </si>
  <si>
    <t>Neustadt bei Coburg</t>
  </si>
  <si>
    <t>Westerstede</t>
  </si>
  <si>
    <t>Morsbach</t>
  </si>
  <si>
    <t>Sachsenheim</t>
  </si>
  <si>
    <t>Neutraubling</t>
  </si>
  <si>
    <t>Westoverledingen</t>
  </si>
  <si>
    <t>Much</t>
  </si>
  <si>
    <t>Salem</t>
  </si>
  <si>
    <t>Neu-Ulm, Stadt</t>
  </si>
  <si>
    <t>Weyhe</t>
  </si>
  <si>
    <t>Mülheim an der Ruhr</t>
  </si>
  <si>
    <t>Sandhausen</t>
  </si>
  <si>
    <t>Nördlingen</t>
  </si>
  <si>
    <t>Wiefelstede</t>
  </si>
  <si>
    <t>Münster</t>
  </si>
  <si>
    <t>Sankt Georgen i. Schwarzw.</t>
  </si>
  <si>
    <t>Nürnberg</t>
  </si>
  <si>
    <t>Wiesmoor</t>
  </si>
  <si>
    <t>Netphen</t>
  </si>
  <si>
    <t>Sankt Leon-Rot</t>
  </si>
  <si>
    <t>Oberasbach</t>
  </si>
  <si>
    <t>Wietmarschen</t>
  </si>
  <si>
    <t>Nettetal</t>
  </si>
  <si>
    <t>Schönaich</t>
  </si>
  <si>
    <t>Oberhaching</t>
  </si>
  <si>
    <t>Wildeshausen</t>
  </si>
  <si>
    <t>Neuenkirchen</t>
  </si>
  <si>
    <t>Schopfheim</t>
  </si>
  <si>
    <t>Oberschleißheim</t>
  </si>
  <si>
    <t>Wilhelmshaven</t>
  </si>
  <si>
    <t>Neuenrade</t>
  </si>
  <si>
    <t>Schorndorf</t>
  </si>
  <si>
    <t>Ochsenfurt</t>
  </si>
  <si>
    <t>Winsen (Aller)</t>
  </si>
  <si>
    <t>Neukirchen-Vluyn</t>
  </si>
  <si>
    <t>Schramberg</t>
  </si>
  <si>
    <t>Olching</t>
  </si>
  <si>
    <t>Winsen (Luhe)</t>
  </si>
  <si>
    <t>Neunkirchen</t>
  </si>
  <si>
    <t>Schriesheim</t>
  </si>
  <si>
    <t>Osterhofen</t>
  </si>
  <si>
    <t>Wittingen</t>
  </si>
  <si>
    <t>Neunkirchen-Seelscheid</t>
  </si>
  <si>
    <t>Schwäbisch Gmünd</t>
  </si>
  <si>
    <t>Ottobrunn</t>
  </si>
  <si>
    <t>Wittmund, Stadt</t>
  </si>
  <si>
    <t>Neuss</t>
  </si>
  <si>
    <t>Schwäbisch Hall, Stadt</t>
  </si>
  <si>
    <t>Passau, Stadt</t>
  </si>
  <si>
    <t>Wolfenbüttel, Stadt</t>
  </si>
  <si>
    <t>Niederkassel</t>
  </si>
  <si>
    <t>Schwaigern</t>
  </si>
  <si>
    <t>Pegnitz</t>
  </si>
  <si>
    <t>Wolfsburg</t>
  </si>
  <si>
    <t>Niederkrüchten</t>
  </si>
  <si>
    <t>Schwetzingen</t>
  </si>
  <si>
    <t>Peißenberg</t>
  </si>
  <si>
    <t>Wunstorf</t>
  </si>
  <si>
    <t>Niederzier</t>
  </si>
  <si>
    <t>Schwieberdingen</t>
  </si>
  <si>
    <t>Peiting</t>
  </si>
  <si>
    <t>Wurster Nordseeküste</t>
  </si>
  <si>
    <t>Nörvenich</t>
  </si>
  <si>
    <t>Sigmaringen, Stadt</t>
  </si>
  <si>
    <t>Penzberg</t>
  </si>
  <si>
    <t>Zetel</t>
  </si>
  <si>
    <t>Nottuln</t>
  </si>
  <si>
    <t>Sindelfingen</t>
  </si>
  <si>
    <t>Pfaffenhofen a. d. Ilm, Stadt</t>
  </si>
  <si>
    <t>Zeven</t>
  </si>
  <si>
    <t>Nümbrecht</t>
  </si>
  <si>
    <t>Singen (Hohentwiel)</t>
  </si>
  <si>
    <t>Pfarrkirchen</t>
  </si>
  <si>
    <t>Oberhausen</t>
  </si>
  <si>
    <t>Sinsheim</t>
  </si>
  <si>
    <t>Planegg</t>
  </si>
  <si>
    <t>Ochtrup</t>
  </si>
  <si>
    <t>Sinzheim</t>
  </si>
  <si>
    <t>Plattling</t>
  </si>
  <si>
    <t>Odenthal</t>
  </si>
  <si>
    <t>Spaichingen</t>
  </si>
  <si>
    <t>Pocking</t>
  </si>
  <si>
    <t>Oelde</t>
  </si>
  <si>
    <t>Steinen</t>
  </si>
  <si>
    <t>Poing</t>
  </si>
  <si>
    <t>Oer-Erkenschwick</t>
  </si>
  <si>
    <t>Steinheim an der Murr</t>
  </si>
  <si>
    <t>Prien am Chiemsee</t>
  </si>
  <si>
    <t>Oerlinghausen</t>
  </si>
  <si>
    <t>Stockach</t>
  </si>
  <si>
    <t>Puchheim</t>
  </si>
  <si>
    <t>Olfen</t>
  </si>
  <si>
    <t>Straubenhardt</t>
  </si>
  <si>
    <t>Raubling</t>
  </si>
  <si>
    <t>Olpe</t>
  </si>
  <si>
    <t>Stutensee</t>
  </si>
  <si>
    <t>Regen, Stadt</t>
  </si>
  <si>
    <t>Olsberg</t>
  </si>
  <si>
    <t>Stuttgart</t>
  </si>
  <si>
    <t>Regensburg, Stadt</t>
  </si>
  <si>
    <t>Ostbevern</t>
  </si>
  <si>
    <t>Sulz am Neckar</t>
  </si>
  <si>
    <t>Regenstauf</t>
  </si>
  <si>
    <t>Overath</t>
  </si>
  <si>
    <t>Süßen</t>
  </si>
  <si>
    <t>Rödental</t>
  </si>
  <si>
    <t>Paderborn, Stadt</t>
  </si>
  <si>
    <t>Tamm</t>
  </si>
  <si>
    <t>Roding</t>
  </si>
  <si>
    <t>Petershagen</t>
  </si>
  <si>
    <t>Tauberbischofsheim</t>
  </si>
  <si>
    <t>Rosenheim, Stadt</t>
  </si>
  <si>
    <t>Plettenberg</t>
  </si>
  <si>
    <t>Teningen</t>
  </si>
  <si>
    <t>Roth, Stadt</t>
  </si>
  <si>
    <t>Porta Westfalica</t>
  </si>
  <si>
    <t>Tettnang</t>
  </si>
  <si>
    <t>Röthenbach a. d. Pegnitz</t>
  </si>
  <si>
    <t>Preussisch Oldendorf</t>
  </si>
  <si>
    <t>Titisee-Neustadt</t>
  </si>
  <si>
    <t>Rothenburg ob der Tauber</t>
  </si>
  <si>
    <t>Pulheim</t>
  </si>
  <si>
    <t>Trossingen</t>
  </si>
  <si>
    <t>Schongau, Stadt</t>
  </si>
  <si>
    <t>Radevormwald</t>
  </si>
  <si>
    <t>Tübingen, Stadt</t>
  </si>
  <si>
    <t>Schrobenhausen, Stadt</t>
  </si>
  <si>
    <t>Raesfeld</t>
  </si>
  <si>
    <t>Tuttlingen, Stadt</t>
  </si>
  <si>
    <t>Schwabach</t>
  </si>
  <si>
    <t>Rahden</t>
  </si>
  <si>
    <t>Überlingen</t>
  </si>
  <si>
    <t>Schwabmünchen</t>
  </si>
  <si>
    <t>Ratingen</t>
  </si>
  <si>
    <t>Ubstadt-Weiher</t>
  </si>
  <si>
    <t>Schwandorf, Stadt</t>
  </si>
  <si>
    <t>Recke</t>
  </si>
  <si>
    <t>Uhingen</t>
  </si>
  <si>
    <t>Schweinfurt, Stadt</t>
  </si>
  <si>
    <t>Recklinghausen</t>
  </si>
  <si>
    <t>Ulm</t>
  </si>
  <si>
    <t>Selb</t>
  </si>
  <si>
    <t>Rees</t>
  </si>
  <si>
    <t>Vaihingen an der Enz</t>
  </si>
  <si>
    <t>Senden</t>
  </si>
  <si>
    <t>Reichshof</t>
  </si>
  <si>
    <t>Villingen-Schwenningen</t>
  </si>
  <si>
    <t>Sonthofen</t>
  </si>
  <si>
    <t>Reken</t>
  </si>
  <si>
    <t>Waghäusel</t>
  </si>
  <si>
    <t>Stadtbergen</t>
  </si>
  <si>
    <t>Remscheid</t>
  </si>
  <si>
    <t>Waiblingen</t>
  </si>
  <si>
    <t>Starnberg, Stadt</t>
  </si>
  <si>
    <t>Rheda-Wiedenbrück</t>
  </si>
  <si>
    <t>Waldbronn</t>
  </si>
  <si>
    <t>Stein</t>
  </si>
  <si>
    <t>Rhede</t>
  </si>
  <si>
    <t>Waldkirch</t>
  </si>
  <si>
    <t>Stephanskirchen</t>
  </si>
  <si>
    <t>Rheinbach</t>
  </si>
  <si>
    <t>Waldshut-Tiengen, Stadt</t>
  </si>
  <si>
    <t>Straubing, Stadt</t>
  </si>
  <si>
    <t>Rheinberg</t>
  </si>
  <si>
    <t>Walldorf</t>
  </si>
  <si>
    <t>Sulzbach-Rosenberg, Stadt</t>
  </si>
  <si>
    <t>Rheine</t>
  </si>
  <si>
    <t>Walldürn</t>
  </si>
  <si>
    <t>Taufkirchen</t>
  </si>
  <si>
    <t>Rietberg</t>
  </si>
  <si>
    <t>Wangen im Allgäu</t>
  </si>
  <si>
    <t>Taufkirchen (Vils)</t>
  </si>
  <si>
    <t>Rommerskirchen</t>
  </si>
  <si>
    <t>Wehr</t>
  </si>
  <si>
    <t>Traunreut</t>
  </si>
  <si>
    <t>Rosendahl</t>
  </si>
  <si>
    <t>Weil am Rhein</t>
  </si>
  <si>
    <t>Traunstein, Stadt</t>
  </si>
  <si>
    <t>Rösrath</t>
  </si>
  <si>
    <t>Weil der Stadt</t>
  </si>
  <si>
    <t>Treuchtlingen</t>
  </si>
  <si>
    <t>Ruppichteroth</t>
  </si>
  <si>
    <t>Weilheim an der Teck</t>
  </si>
  <si>
    <t>Trostberg</t>
  </si>
  <si>
    <t>Rüthen</t>
  </si>
  <si>
    <t>Weingarten</t>
  </si>
  <si>
    <t>Unterföhring</t>
  </si>
  <si>
    <t>Salzkotten</t>
  </si>
  <si>
    <t>Weingarten (Baden)</t>
  </si>
  <si>
    <t>Unterhaching</t>
  </si>
  <si>
    <t>Sankt Augustin</t>
  </si>
  <si>
    <t>Weinheim</t>
  </si>
  <si>
    <t>Unterschleißheim</t>
  </si>
  <si>
    <t>Sassenberg</t>
  </si>
  <si>
    <t>Weinsberg</t>
  </si>
  <si>
    <t>Vaterstetten</t>
  </si>
  <si>
    <t>Schalksmühle</t>
  </si>
  <si>
    <t>Weinstadt</t>
  </si>
  <si>
    <t>Vilsbiburg</t>
  </si>
  <si>
    <t>Schermbeck</t>
  </si>
  <si>
    <t>Welzheim</t>
  </si>
  <si>
    <t>Vilshofen a. d. Donau</t>
  </si>
  <si>
    <t>Schleiden</t>
  </si>
  <si>
    <t>Wendlingen am Neckar</t>
  </si>
  <si>
    <t>Vöhringen</t>
  </si>
  <si>
    <t>Schloß Holte-Stukenbrock</t>
  </si>
  <si>
    <t>Wernau (Neckar)</t>
  </si>
  <si>
    <t>Waldkirchen</t>
  </si>
  <si>
    <t>Schmallenberg</t>
  </si>
  <si>
    <t>Wertheim</t>
  </si>
  <si>
    <t>Waldkraiburg</t>
  </si>
  <si>
    <t>Schwalmtal</t>
  </si>
  <si>
    <t>Wiesloch</t>
  </si>
  <si>
    <t>Wasserburg am Inn</t>
  </si>
  <si>
    <t>Schwelm</t>
  </si>
  <si>
    <t>Wildberg</t>
  </si>
  <si>
    <t>Weiden i. d. Oberpfalz</t>
  </si>
  <si>
    <t>Schwerte</t>
  </si>
  <si>
    <t>Winnenden</t>
  </si>
  <si>
    <t>Weilheim i. OB, Stadt</t>
  </si>
  <si>
    <t>Selfkant</t>
  </si>
  <si>
    <t>Weißenburg i. Bayern, Stadt</t>
  </si>
  <si>
    <t>Selm</t>
  </si>
  <si>
    <t>Weißenhorn</t>
  </si>
  <si>
    <t>Wendelstein</t>
  </si>
  <si>
    <t>Sendenhorst</t>
  </si>
  <si>
    <t>Werneck</t>
  </si>
  <si>
    <t>Siegburg</t>
  </si>
  <si>
    <t>Wolfratshausen, Stadt</t>
  </si>
  <si>
    <t>Siegen, Stadt</t>
  </si>
  <si>
    <t>Wolnzach</t>
  </si>
  <si>
    <t>Simmerath</t>
  </si>
  <si>
    <t>Würzburg, Stadt</t>
  </si>
  <si>
    <t>Soest</t>
  </si>
  <si>
    <t>Zirndorf</t>
  </si>
  <si>
    <t>Solingen</t>
  </si>
  <si>
    <t>Spenge</t>
  </si>
  <si>
    <t>Sprockhövel</t>
  </si>
  <si>
    <t>Stadtlohn</t>
  </si>
  <si>
    <t>Steinfurt, Stadt</t>
  </si>
  <si>
    <t>Steinhagen</t>
  </si>
  <si>
    <t>Steinheim</t>
  </si>
  <si>
    <t>Stemwede</t>
  </si>
  <si>
    <t>Stolberg (Rheinland)</t>
  </si>
  <si>
    <t>Straelen</t>
  </si>
  <si>
    <t>Sundern (Sauerland)</t>
  </si>
  <si>
    <t>Swisttal</t>
  </si>
  <si>
    <t>Telgte</t>
  </si>
  <si>
    <t>Tönisvorst</t>
  </si>
  <si>
    <t>Troisdorf</t>
  </si>
  <si>
    <t>Übach-Palenberg</t>
  </si>
  <si>
    <t>Unna</t>
  </si>
  <si>
    <t>Velbert</t>
  </si>
  <si>
    <t>Velen</t>
  </si>
  <si>
    <t>Verl</t>
  </si>
  <si>
    <t>Versmold</t>
  </si>
  <si>
    <t>Viersen</t>
  </si>
  <si>
    <t>Vlotho</t>
  </si>
  <si>
    <t>Voerde (Niederrhein)</t>
  </si>
  <si>
    <t>Vreden</t>
  </si>
  <si>
    <t>Wachtberg</t>
  </si>
  <si>
    <t>Wadersloh</t>
  </si>
  <si>
    <t>Waldbröl</t>
  </si>
  <si>
    <t>Waltrop</t>
  </si>
  <si>
    <t>Warburg</t>
  </si>
  <si>
    <t>Warendorf, Stadt</t>
  </si>
  <si>
    <t>Warstein</t>
  </si>
  <si>
    <t>Wassenberg</t>
  </si>
  <si>
    <t>Weeze</t>
  </si>
  <si>
    <t>Wegberg</t>
  </si>
  <si>
    <t>Weilerswist</t>
  </si>
  <si>
    <t>Welver</t>
  </si>
  <si>
    <t>Wenden</t>
  </si>
  <si>
    <t>Werdohl</t>
  </si>
  <si>
    <t>Werl</t>
  </si>
  <si>
    <t>Wermelskirchen</t>
  </si>
  <si>
    <t>Werne</t>
  </si>
  <si>
    <t>Werther (Westf.)</t>
  </si>
  <si>
    <t>Wesel, Stadt</t>
  </si>
  <si>
    <t>Wesseling</t>
  </si>
  <si>
    <t>Westerkappeln</t>
  </si>
  <si>
    <t>Wetter (Ruhr)</t>
  </si>
  <si>
    <t>Wickede (Ruhr)</t>
  </si>
  <si>
    <t>Wiehl</t>
  </si>
  <si>
    <t>Willich</t>
  </si>
  <si>
    <t>Wilnsdorf</t>
  </si>
  <si>
    <t>Windeck</t>
  </si>
  <si>
    <t>Winterberg</t>
  </si>
  <si>
    <t>Wipperfürth</t>
  </si>
  <si>
    <t>Witten</t>
  </si>
  <si>
    <t>Wülfrath</t>
  </si>
  <si>
    <t>Wuppertal</t>
  </si>
  <si>
    <t>Würselen</t>
  </si>
  <si>
    <t>Xanten</t>
  </si>
  <si>
    <t>Zülpich</t>
  </si>
  <si>
    <t>erstellt:</t>
  </si>
  <si>
    <t>Berechnung Arbeitslosengeld II und Sozialgeld</t>
  </si>
  <si>
    <t>bis</t>
  </si>
  <si>
    <t>BG besteht aus</t>
  </si>
  <si>
    <t>minderjähriges Kind vorhanden</t>
  </si>
  <si>
    <t>Alter</t>
  </si>
  <si>
    <t>anspruchsberechtigt</t>
  </si>
  <si>
    <t>Regelbedarf</t>
  </si>
  <si>
    <t>Mehrbedarf für</t>
  </si>
  <si>
    <t>Unterkunftkosten gesamt</t>
  </si>
  <si>
    <t>Summe Bedarf</t>
  </si>
  <si>
    <t>Bruttolohn</t>
  </si>
  <si>
    <t>anrechenbares Einkommen</t>
  </si>
  <si>
    <t>Leistungsanspruch</t>
  </si>
  <si>
    <t>verbleibender Bedarf</t>
  </si>
  <si>
    <t>Bedarfsanteile</t>
  </si>
  <si>
    <t>Bedarf ./. Einkommen</t>
  </si>
  <si>
    <t>Anspruch</t>
  </si>
  <si>
    <t xml:space="preserve">        Verteilung nach Leistungen zur Sicherung des Lebensunterhalts und Unterkunftskosten</t>
  </si>
  <si>
    <t>Sicherung des Lebensunterhalts</t>
  </si>
  <si>
    <t>./. Minderung wegen Sanktion</t>
  </si>
  <si>
    <t>./. zu berücksichtigendes Einkommen</t>
  </si>
  <si>
    <t>Bedarf Lebensunterhalt (Bund)</t>
  </si>
  <si>
    <t>ggf. Einkommensüberhang</t>
  </si>
  <si>
    <t>Kosten für Unterkunft und Heizung</t>
  </si>
  <si>
    <t>./. Einkommensüberhang</t>
  </si>
  <si>
    <t>Unterkunftkosten (Kommune)</t>
  </si>
  <si>
    <t xml:space="preserve">Berechnung Freibetrag nach § 11b (3) SGB II für Antragsteller </t>
  </si>
  <si>
    <t>bis 1000 €</t>
  </si>
  <si>
    <t>x 20 %        =</t>
  </si>
  <si>
    <t xml:space="preserve"> ab 1000,01 €</t>
  </si>
  <si>
    <t>x 10 %        =</t>
  </si>
  <si>
    <t xml:space="preserve">Berechnung Freibetrag nach § 11b (3) SGB II für Partner(in) </t>
  </si>
  <si>
    <t xml:space="preserve">Berechnung Freibetrag nach § 11b (3) SGB II für Kind 1 </t>
  </si>
  <si>
    <t xml:space="preserve">Berechnung Freibetrag nach § 11b (3) SGB II für Kind 2 </t>
  </si>
  <si>
    <t xml:space="preserve">Berechnung Freibetrag nach § 11b (3) SGB II für Kind 3 </t>
  </si>
  <si>
    <t xml:space="preserve">Berechnung Freibetrag nach § 11b (3) SGB II für Kind 4 </t>
  </si>
  <si>
    <t xml:space="preserve">Berechnung Freibetrag nach § 11b (3) SGB II für Kind 5 </t>
  </si>
  <si>
    <t>zurück</t>
  </si>
  <si>
    <t>Berechnung eines möglichen Wohngeldanspruchs</t>
  </si>
  <si>
    <t>Höchstbetrag nach § 12 WoGG</t>
  </si>
  <si>
    <t>Gesamteinkommen</t>
  </si>
  <si>
    <t>Jahreseinkommen</t>
  </si>
  <si>
    <t>verbleibendes Jahreseinkommen</t>
  </si>
  <si>
    <t>monatlich</t>
  </si>
  <si>
    <t>mögliches Wohngeld</t>
  </si>
  <si>
    <t>Berechnungsjahr</t>
  </si>
  <si>
    <t>a</t>
  </si>
  <si>
    <t>b</t>
  </si>
  <si>
    <t>c</t>
  </si>
  <si>
    <t>Mindestwerte</t>
  </si>
  <si>
    <t>M</t>
  </si>
  <si>
    <t>Y</t>
  </si>
  <si>
    <t>M tatsächlich</t>
  </si>
  <si>
    <t>Y tatsächlich</t>
  </si>
  <si>
    <t>1. Rechenschritt</t>
  </si>
  <si>
    <t>2. Rechenschritt</t>
  </si>
  <si>
    <t>3. Rechenschritt</t>
  </si>
  <si>
    <t>4. Rechenschritt</t>
  </si>
  <si>
    <t>Mietenstufe I</t>
  </si>
  <si>
    <t>Mietenstufe II</t>
  </si>
  <si>
    <t>Mietenstufe III</t>
  </si>
  <si>
    <t>Mietenstufe IV</t>
  </si>
  <si>
    <t>Mietenstufe V</t>
  </si>
  <si>
    <t>Mietenstufe VI</t>
  </si>
  <si>
    <t>I</t>
  </si>
  <si>
    <t>II</t>
  </si>
  <si>
    <t>III</t>
  </si>
  <si>
    <t>IV</t>
  </si>
  <si>
    <t>V</t>
  </si>
  <si>
    <t>VI</t>
  </si>
  <si>
    <t>Berechnung SGB II Anspruch</t>
  </si>
  <si>
    <t>Leistungsanspruch SGB II</t>
  </si>
  <si>
    <t>verteilbares Einkommen</t>
  </si>
  <si>
    <t>./. verteiltes Einkommen</t>
  </si>
  <si>
    <t>SGB II Anspruch</t>
  </si>
  <si>
    <t>Möglicher Anspruch auf Kinderzuschlag</t>
  </si>
  <si>
    <t>Name:</t>
  </si>
  <si>
    <t>Prüfschritte</t>
  </si>
  <si>
    <t>Anspruch auf Kindergeld</t>
  </si>
  <si>
    <t>Mindesteinkommensgrenze der Eltern</t>
  </si>
  <si>
    <t>tatsächliches Einkommen der Eltern</t>
  </si>
  <si>
    <t>ungeminderter Kinderzuschlag</t>
  </si>
  <si>
    <t>zu berücksichtigendes Einkommen</t>
  </si>
  <si>
    <t>des Kindes</t>
  </si>
  <si>
    <t>verbleibender Kinderzuschlag</t>
  </si>
  <si>
    <t>Einkommen der Eltern</t>
  </si>
  <si>
    <t>Erwerbseinkommen der Eltern</t>
  </si>
  <si>
    <t>Sonstiges Einkommen der Eltern</t>
  </si>
  <si>
    <t>Bemessungsgrenze der Eltern</t>
  </si>
  <si>
    <t>Regelbedarfe</t>
  </si>
  <si>
    <t>Mehrbedarfe</t>
  </si>
  <si>
    <t>Kosten der Unterkunft und Heizung</t>
  </si>
  <si>
    <t>Höchsteinkommensgrenze der Eltern</t>
  </si>
  <si>
    <t>Bemessungsgrenze</t>
  </si>
  <si>
    <t>Kinderzuschlag (ungem.)</t>
  </si>
  <si>
    <t>Kinderzuschlag</t>
  </si>
  <si>
    <t>übersteigendes Einkommen der Eltern</t>
  </si>
  <si>
    <t>./. Einkommen, um das KiZ zu kürzen ist</t>
  </si>
  <si>
    <t>möglicher Kinderzuschlag</t>
  </si>
  <si>
    <t>Anspruch nach SGB II</t>
  </si>
  <si>
    <t xml:space="preserve">Anspruch auf Kinderzuschlag </t>
  </si>
  <si>
    <t>Elternanteil KdU</t>
  </si>
  <si>
    <t>Alleinerziehend</t>
  </si>
  <si>
    <t>Partner</t>
  </si>
  <si>
    <t>Kinder</t>
  </si>
  <si>
    <t>Berechnung Höhe Lebensmittelgutschein wegen Sanktion</t>
  </si>
  <si>
    <t>Sanktionszeitraum:</t>
  </si>
  <si>
    <t>3 Monate</t>
  </si>
  <si>
    <t>6 Wochen</t>
  </si>
  <si>
    <r>
      <rPr>
        <u/>
        <sz val="12"/>
        <rFont val="Arial Narrow"/>
        <family val="2"/>
      </rPr>
      <t>Ermittlungsgröße</t>
    </r>
    <r>
      <rPr>
        <sz val="12"/>
        <rFont val="Arial Narrow"/>
        <family val="2"/>
      </rPr>
      <t>: halber Regelbedarf eines Alleinstehenden*</t>
    </r>
  </si>
  <si>
    <r>
      <rPr>
        <b/>
        <sz val="12"/>
        <rFont val="Arial Narrow"/>
        <family val="2"/>
      </rPr>
      <t xml:space="preserve">Höhe der Sanktion </t>
    </r>
    <r>
      <rPr>
        <b/>
        <sz val="11"/>
        <rFont val="Arial Narrow"/>
        <family val="2"/>
      </rPr>
      <t>(Minderung Regelbedarf)</t>
    </r>
  </si>
  <si>
    <t>in Prozent</t>
  </si>
  <si>
    <t>verbleibender Regelbedarf</t>
  </si>
  <si>
    <t>Differenz zu 30 Prozent</t>
  </si>
  <si>
    <t>Gutschein*</t>
  </si>
  <si>
    <t>verfügbare Leistung</t>
  </si>
  <si>
    <t>Fehlbetrag zur Ermittlungsgröße</t>
  </si>
  <si>
    <t>Gesamtgutscheinhöhe im Monat*</t>
  </si>
  <si>
    <t>Hinweis:</t>
  </si>
  <si>
    <t>*) Beträge aufgerundet</t>
  </si>
  <si>
    <t>Ort, den</t>
  </si>
  <si>
    <t>Im Auftrag:</t>
  </si>
  <si>
    <t xml:space="preserve">   Notwendige Daten zur Berechnung des Zuschusses zu den Versicherungsbeiträgen</t>
  </si>
  <si>
    <t>Kranken- und Pflegeversicherung (§ 26)</t>
  </si>
  <si>
    <t>Private Krankenversicherung</t>
  </si>
  <si>
    <t>Beitrag im (fiktiven) Basistarif</t>
  </si>
  <si>
    <t>Beitrag in einem anderen Tarif</t>
  </si>
  <si>
    <r>
      <rPr>
        <sz val="12"/>
        <rFont val="Arial Narrow"/>
        <family val="2"/>
      </rPr>
      <t xml:space="preserve">Beitrag zur privaten </t>
    </r>
    <r>
      <rPr>
        <b/>
        <sz val="12"/>
        <rFont val="Arial Narrow"/>
        <family val="2"/>
      </rPr>
      <t>Pflege</t>
    </r>
    <r>
      <rPr>
        <sz val="12"/>
        <rFont val="Arial Narrow"/>
        <family val="2"/>
      </rPr>
      <t>versicherung</t>
    </r>
  </si>
  <si>
    <t>Gesetzliche Krankenversicherung</t>
  </si>
  <si>
    <r>
      <rPr>
        <i/>
        <sz val="10"/>
        <rFont val="Arial Narrow"/>
        <family val="2"/>
      </rPr>
      <t xml:space="preserve">Kommentare beachten und Einkommen im </t>
    </r>
    <r>
      <rPr>
        <b/>
        <i/>
        <sz val="10"/>
        <color rgb="FFFF0000"/>
        <rFont val="Arial Narrow"/>
        <family val="2"/>
      </rPr>
      <t>Arbeitsblatt "Eingaben"</t>
    </r>
    <r>
      <rPr>
        <i/>
        <sz val="10"/>
        <rFont val="Arial Narrow"/>
        <family val="2"/>
      </rPr>
      <t xml:space="preserve"> erfassen!</t>
    </r>
  </si>
  <si>
    <r>
      <rPr>
        <b/>
        <sz val="12"/>
        <rFont val="Arial Narrow"/>
        <family val="2"/>
      </rPr>
      <t>Freiwilliger</t>
    </r>
    <r>
      <rPr>
        <sz val="12"/>
        <rFont val="Arial Narrow"/>
        <family val="2"/>
      </rPr>
      <t xml:space="preserve"> Beitrag zur gesetzlichen Krankenversicherung</t>
    </r>
  </si>
  <si>
    <r>
      <rPr>
        <b/>
        <sz val="12"/>
        <rFont val="Arial Narrow"/>
        <family val="2"/>
      </rPr>
      <t>Pflichtbeitrag</t>
    </r>
    <r>
      <rPr>
        <sz val="12"/>
        <rFont val="Arial Narrow"/>
        <family val="2"/>
      </rPr>
      <t xml:space="preserve"> zur gesetzlichen Krankenversicherung</t>
    </r>
  </si>
  <si>
    <r>
      <rPr>
        <sz val="12"/>
        <rFont val="Arial Narrow"/>
        <family val="2"/>
      </rPr>
      <t xml:space="preserve">Beitragszuschuss zur KV </t>
    </r>
    <r>
      <rPr>
        <sz val="10"/>
        <rFont val="Arial Narrow"/>
        <family val="2"/>
      </rPr>
      <t>(z.B. von der Rentenversicherung)</t>
    </r>
  </si>
  <si>
    <r>
      <rPr>
        <sz val="12"/>
        <rFont val="Arial Narrow"/>
        <family val="2"/>
      </rPr>
      <t xml:space="preserve">Beitrag zur </t>
    </r>
    <r>
      <rPr>
        <b/>
        <sz val="12"/>
        <rFont val="Arial Narrow"/>
        <family val="2"/>
      </rPr>
      <t>Pflege</t>
    </r>
    <r>
      <rPr>
        <sz val="12"/>
        <rFont val="Arial Narrow"/>
        <family val="2"/>
      </rPr>
      <t>versicherung</t>
    </r>
  </si>
  <si>
    <r>
      <rPr>
        <sz val="12"/>
        <rFont val="Arial Narrow"/>
        <family val="2"/>
      </rPr>
      <t>Beitragszuschuss zur PV</t>
    </r>
    <r>
      <rPr>
        <sz val="10"/>
        <rFont val="Arial Narrow"/>
        <family val="2"/>
      </rPr>
      <t xml:space="preserve"> (z.B. von der Rentenversicherung)</t>
    </r>
  </si>
  <si>
    <t xml:space="preserve">   Berechnung Zuschuss zu Versicherungsbeiträgen nach § 26 SGB II</t>
  </si>
  <si>
    <t>halbierter Beitrag im Basistarif</t>
  </si>
  <si>
    <t>maßgebender Betrag</t>
  </si>
  <si>
    <r>
      <rPr>
        <b/>
        <sz val="13"/>
        <rFont val="Arial Narrow"/>
        <family val="2"/>
      </rPr>
      <t>Zuschuss</t>
    </r>
    <r>
      <rPr>
        <sz val="13"/>
        <rFont val="Arial Narrow"/>
        <family val="2"/>
      </rPr>
      <t xml:space="preserve"> zur privaten Krankenversicherung</t>
    </r>
  </si>
  <si>
    <t>Private Pflegeversicherung</t>
  </si>
  <si>
    <t>halbierter Höchstbeitrag</t>
  </si>
  <si>
    <t>tatsächlicher Pflegeversicherungsbeitrag</t>
  </si>
  <si>
    <r>
      <rPr>
        <b/>
        <sz val="13"/>
        <rFont val="Arial Narrow"/>
        <family val="2"/>
      </rPr>
      <t xml:space="preserve">Zuschuss </t>
    </r>
    <r>
      <rPr>
        <sz val="13"/>
        <rFont val="Arial Narrow"/>
        <family val="2"/>
      </rPr>
      <t>zur privaten Pflegeversicherung</t>
    </r>
  </si>
  <si>
    <r>
      <rPr>
        <i/>
        <sz val="10"/>
        <rFont val="Arial Narrow"/>
        <family val="2"/>
      </rPr>
      <t xml:space="preserve">bei Berücksichtigung der Beiträge als Einkommen siehe auch </t>
    </r>
    <r>
      <rPr>
        <b/>
        <i/>
        <sz val="10"/>
        <color rgb="FFFF0000"/>
        <rFont val="Arial Narrow"/>
        <family val="2"/>
      </rPr>
      <t>Arbeitsblatt Berechnung!</t>
    </r>
  </si>
  <si>
    <t>Freiwilliger Beitrag zur gesetzlichen Krankenversicherung</t>
  </si>
  <si>
    <t>Pflichtbeitrag zur gesetzlichen Krankenversicherung</t>
  </si>
  <si>
    <r>
      <rPr>
        <b/>
        <sz val="13"/>
        <rFont val="Arial Narrow"/>
        <family val="2"/>
      </rPr>
      <t>Zuschuss</t>
    </r>
    <r>
      <rPr>
        <sz val="13"/>
        <rFont val="Arial Narrow"/>
        <family val="2"/>
      </rPr>
      <t xml:space="preserve"> zur gesetzlichen Krankenversicherung</t>
    </r>
  </si>
  <si>
    <t>Gesetzliche Pflegeversicherung</t>
  </si>
  <si>
    <t>Beitrag zur Pflegeversicherung</t>
  </si>
  <si>
    <r>
      <rPr>
        <b/>
        <sz val="13"/>
        <rFont val="Arial Narrow"/>
        <family val="2"/>
      </rPr>
      <t>Zuschuss</t>
    </r>
    <r>
      <rPr>
        <sz val="13"/>
        <rFont val="Arial Narrow"/>
        <family val="2"/>
      </rPr>
      <t xml:space="preserve"> zur gesetzlichen Pflegeversicherung</t>
    </r>
  </si>
  <si>
    <t>©  MEichler, Stand: 01.01.2017</t>
  </si>
  <si>
    <t>1. Berechnung einmalige Einnahmen</t>
  </si>
  <si>
    <t>1.1 Eingaben</t>
  </si>
  <si>
    <t>1. nicht aus Erwerbstätigkeit</t>
  </si>
  <si>
    <t>Steuererstattung</t>
  </si>
  <si>
    <t>nachgewiesene notwendige Ausgaben</t>
  </si>
  <si>
    <t>2. aus Erwerbstätigkeit</t>
  </si>
  <si>
    <t>Weihnachtsgeld brutto</t>
  </si>
  <si>
    <t>Weihnachtsgeld netto</t>
  </si>
  <si>
    <t>1.2 Ergebnis</t>
  </si>
  <si>
    <t>./. Ausgaben</t>
  </si>
  <si>
    <t>verbleiben</t>
  </si>
  <si>
    <t>Berechnung siehe nächstes Tabellenblatt!</t>
  </si>
  <si>
    <t>2. Berechnung anrechenbares Erwerbseinkommen anderer Entstehungsmonat</t>
  </si>
  <si>
    <t>Nettolohn</t>
  </si>
  <si>
    <t>./. Grundfreibetrag</t>
  </si>
  <si>
    <t>./. Erwerbstätigenfreibetrag</t>
  </si>
  <si>
    <t>anrechenbares Erwerbseinkommen</t>
  </si>
  <si>
    <t>Berechnung Arbeitslosengeld II und Sozialgeld mit Einmalzahlung</t>
  </si>
  <si>
    <t>Berechnung Erwerbstätigenfreibeträge</t>
  </si>
  <si>
    <t>Berechnung Einmalzahlung aus Erwerbstätigkeit</t>
  </si>
  <si>
    <t>Einmalzahlung</t>
  </si>
  <si>
    <t>./. Freibetrag</t>
  </si>
  <si>
    <t>: 6 Monate</t>
  </si>
  <si>
    <t>Berechnung Erwerbstätigenfreibeträge mit Einmalzahlung aus Erwerbstätigkeit</t>
  </si>
  <si>
    <t>Berechnung Sonstige Einmalzahlungen</t>
  </si>
  <si>
    <t>Unterschied</t>
  </si>
  <si>
    <t>Berechnung anrechenbares 2. Erwerbseinkommen anderer Entstehungsmonat</t>
  </si>
  <si>
    <t>Berechnung Erwerbstätigenfreibeträge aus 2. Erwerbseinkommen anderer Entstehungsmonat</t>
  </si>
  <si>
    <t>Notwendige Daten zur Änderung des Anspruchs</t>
  </si>
  <si>
    <t>Bedarf neu</t>
  </si>
  <si>
    <t>Anzahl der weiteren Personen im Haushalt</t>
  </si>
  <si>
    <t>Bedarfsgemeinschaft besteht aus</t>
  </si>
  <si>
    <t>Schwangerschaft; Entbindungstermin eingeben</t>
  </si>
  <si>
    <t>unabweisbarer, lfd., besond. Bedarf</t>
  </si>
  <si>
    <t>Warmwasser dezentral (z.B. Boiler)?</t>
  </si>
  <si>
    <t>Einkommen neu</t>
  </si>
  <si>
    <t>Arbeitstage im Monat (nur bei erwerbsfähig LB)</t>
  </si>
  <si>
    <r>
      <rPr>
        <b/>
        <sz val="12"/>
        <rFont val="Arial Narrow"/>
        <family val="2"/>
      </rPr>
      <t>Entfernung</t>
    </r>
    <r>
      <rPr>
        <sz val="12"/>
        <rFont val="Arial Narrow"/>
        <family val="2"/>
      </rPr>
      <t xml:space="preserve"> Wohnung-Arbeitsplatz</t>
    </r>
  </si>
  <si>
    <t>vom Arbeitgeber bereitgestellte Verpflegung</t>
  </si>
  <si>
    <t>Wert Verpflegung</t>
  </si>
  <si>
    <t>Ausbildungsvergütung (netto)</t>
  </si>
  <si>
    <t>sonstige Werbungskosten eLB, z.B. Gewerkschaft</t>
  </si>
  <si>
    <r>
      <rPr>
        <sz val="12"/>
        <rFont val="Arial Narrow"/>
        <family val="2"/>
      </rPr>
      <t xml:space="preserve">Taschengeld aus </t>
    </r>
    <r>
      <rPr>
        <u/>
        <sz val="12"/>
        <rFont val="Arial Narrow"/>
        <family val="2"/>
      </rPr>
      <t>Freiwilligendienst</t>
    </r>
  </si>
  <si>
    <t>vom Träger bereitgestellte Verpflegung</t>
  </si>
  <si>
    <t>an durchschnittlich ____ Tagen im Monat</t>
  </si>
  <si>
    <t>durchschnittl. mtl. Einkommen letzte 12 Monate</t>
  </si>
  <si>
    <t>Verlängerungsoption beim Elterngeld</t>
  </si>
  <si>
    <r>
      <rPr>
        <sz val="12"/>
        <rFont val="Arial Narrow"/>
        <family val="2"/>
      </rPr>
      <t>Schultage im Monat</t>
    </r>
    <r>
      <rPr>
        <sz val="8.5"/>
        <rFont val="Arial Narrow"/>
        <family val="2"/>
      </rPr>
      <t xml:space="preserve"> (sofern nicht bereits bei Ausbildungsvergütung)</t>
    </r>
  </si>
  <si>
    <t>Entfernung Wohnung - Schule</t>
  </si>
  <si>
    <r>
      <rPr>
        <sz val="12"/>
        <rFont val="Arial Narrow"/>
        <family val="2"/>
      </rPr>
      <t>oder Monatsfahrkarte</t>
    </r>
    <r>
      <rPr>
        <sz val="8.5"/>
        <rFont val="Arial Narrow"/>
        <family val="2"/>
      </rPr>
      <t xml:space="preserve"> (sofern nicht bereits bei Ausbildungsvergütung)</t>
    </r>
  </si>
  <si>
    <t>sonstige Kosten, z.B. Ausbildungsmaterial</t>
  </si>
  <si>
    <t>Versicherungspauschale 30 €</t>
  </si>
  <si>
    <t>Angaben zur Riester-Rente</t>
  </si>
  <si>
    <t>geförderter Altersvorsorgevertrag</t>
  </si>
  <si>
    <t xml:space="preserve">monatliches SV-Brutto </t>
  </si>
  <si>
    <t>zulageberechtigte Kinder im Haushalt des LB</t>
  </si>
  <si>
    <t>maßgebliches Alter während der Pflichtverletzung</t>
  </si>
  <si>
    <t>Es besteht ein Anspruch in Höhe von</t>
  </si>
  <si>
    <t xml:space="preserve">                           Berechnung Arbeitslosengeld II und Sozialgeld nach Änderung</t>
  </si>
  <si>
    <t>Leistungsanspruch neu</t>
  </si>
  <si>
    <t>Anspruch bisher</t>
  </si>
  <si>
    <t>Änderung</t>
  </si>
  <si>
    <t xml:space="preserve">     Verteilung nach Leistungen zur Sicherung des Lebensunterhalts und Unterkunftskosten neu</t>
  </si>
  <si>
    <t xml:space="preserve">     Erstattung ALG II (Aufteilung nach Bund und Kreis)</t>
  </si>
  <si>
    <t>Kosten Bund bisher</t>
  </si>
  <si>
    <t>Kosten Bund neu</t>
  </si>
  <si>
    <t>Erstattung Bund</t>
  </si>
  <si>
    <t>Kosten Kreis bisher</t>
  </si>
  <si>
    <t>Kosten Kreis neu</t>
  </si>
  <si>
    <t>Erstattung Kreis</t>
  </si>
  <si>
    <t>©  MEichler, Stand: 25.03.2017</t>
  </si>
  <si>
    <t xml:space="preserve">                                           Erstattung ALG II (Aufteilung nach Bund und Kreis)</t>
  </si>
  <si>
    <t>1. Verteilung nach Leistungen zur Sicherung des Lebensunterhalts und Unterkunftskosten bisher</t>
  </si>
  <si>
    <t>Sicherung des Lebensunterhaltes</t>
  </si>
  <si>
    <t>Unterkunftskosten (Kommune)</t>
  </si>
  <si>
    <t>2. Verteilung nach Leistungen zur Sicherung des Lebensunterhalts und Unterkunftskosten neu</t>
  </si>
  <si>
    <t>3. Erstattung ALG II (Aufteilung nach Bund und Kreis)</t>
  </si>
  <si>
    <t>Alleinstehende/Alleinerziehende</t>
  </si>
  <si>
    <t>18-24 jährige</t>
  </si>
  <si>
    <t>14-17 jährige</t>
  </si>
  <si>
    <t>6-13 jährige</t>
  </si>
  <si>
    <t>bis 5 jährige</t>
  </si>
  <si>
    <t>Mehrbedarf Ernährung</t>
  </si>
  <si>
    <t>Art der Erkrankung</t>
  </si>
  <si>
    <t>Mehrbedarf aufgrund einer verzehrenden Krankheit</t>
  </si>
  <si>
    <t>Colitis ulcerosa (mit Geschwürsbildungen einhergehende Erkrankung der Dickdarmschleimhaut)*</t>
  </si>
  <si>
    <t>Morbus Crohn (Erkrankung des Magen-Darmtrakts mit Neigung zur Bildung von Fisteln und Verengungen)*</t>
  </si>
  <si>
    <t>Niereninsuffizienz (Nierenversagen)</t>
  </si>
  <si>
    <t>Eiweißdefinierte Kost</t>
  </si>
  <si>
    <t>Der Höhe nach sind Abweichungen in besonders gelagerten Einzelfällen möglich.</t>
  </si>
  <si>
    <t xml:space="preserve">* Ein krankheitsbedingter Mehrbedarf für kostenaufwändigere Ernährung ist in der Regel nur </t>
  </si>
  <si>
    <t>bei schweren Verläufen oder dem Vorliegen besonderer Umstände zu bejahen.</t>
  </si>
  <si>
    <t>Strom</t>
  </si>
  <si>
    <t>Kindergeld - Anteil pro Kopf</t>
  </si>
  <si>
    <t>1 Kind</t>
  </si>
  <si>
    <t>2 Kinder</t>
  </si>
  <si>
    <t>3 Kinder</t>
  </si>
  <si>
    <t>4 Kinder</t>
  </si>
  <si>
    <t>5 Kinder</t>
  </si>
  <si>
    <t>Kinder unter 6 Jahren</t>
  </si>
  <si>
    <t>Kinder unter 12 Jahren</t>
  </si>
  <si>
    <t>Kinder unter 18 Jahren</t>
  </si>
  <si>
    <t>Max. Beitrag Basistarif KV</t>
  </si>
  <si>
    <t>1/2</t>
  </si>
  <si>
    <t>Max. Beitrag priv. PV</t>
  </si>
  <si>
    <t>Kindergeld volle Beträge</t>
  </si>
  <si>
    <t>Einkommensfreibetrag Ehrenamt</t>
  </si>
  <si>
    <t>Notwendige Daten zur Berechnung des Anspruchs</t>
  </si>
  <si>
    <r>
      <rPr>
        <sz val="12"/>
        <rFont val="Arial Narrow"/>
        <family val="2"/>
      </rPr>
      <t xml:space="preserve">minderjähriges Kind </t>
    </r>
    <r>
      <rPr>
        <b/>
        <sz val="12"/>
        <rFont val="Arial Narrow"/>
        <family val="2"/>
      </rPr>
      <t>außerhalb der BG</t>
    </r>
    <r>
      <rPr>
        <sz val="12"/>
        <rFont val="Arial Narrow"/>
        <family val="2"/>
      </rPr>
      <t xml:space="preserve"> vorhanden</t>
    </r>
  </si>
  <si>
    <t>./. Kostenanteil für</t>
  </si>
  <si>
    <t>weitere Nebenkosten</t>
  </si>
  <si>
    <t>./. Kostenanteil für Haushaltsstrom</t>
  </si>
  <si>
    <r>
      <rPr>
        <sz val="12"/>
        <rFont val="Arial Narrow"/>
        <family val="2"/>
      </rPr>
      <t xml:space="preserve">Arbeitstage im Monat (bei </t>
    </r>
    <r>
      <rPr>
        <i/>
        <sz val="12"/>
        <rFont val="Arial Narrow"/>
        <family val="2"/>
      </rPr>
      <t>erwerbsfähigen</t>
    </r>
    <r>
      <rPr>
        <sz val="12"/>
        <rFont val="Arial Narrow"/>
        <family val="2"/>
      </rPr>
      <t xml:space="preserve"> LB)</t>
    </r>
  </si>
  <si>
    <t>tatsächliche Fahrtkosten</t>
  </si>
  <si>
    <r>
      <rPr>
        <sz val="12"/>
        <rFont val="Arial Narrow"/>
        <family val="2"/>
      </rPr>
      <t xml:space="preserve">sonstige Werbungskosten </t>
    </r>
    <r>
      <rPr>
        <b/>
        <sz val="12"/>
        <rFont val="Arial Narrow"/>
        <family val="2"/>
      </rPr>
      <t>eLB</t>
    </r>
    <r>
      <rPr>
        <sz val="12"/>
        <rFont val="Arial Narrow"/>
        <family val="2"/>
      </rPr>
      <t>, z.B. Gewerkschaft</t>
    </r>
  </si>
  <si>
    <r>
      <rPr>
        <u/>
        <sz val="12"/>
        <rFont val="Arial Narrow"/>
        <family val="2"/>
      </rPr>
      <t xml:space="preserve">Leistungen der Ausbildungsförderung </t>
    </r>
    <r>
      <rPr>
        <b/>
        <u/>
        <sz val="12"/>
        <color rgb="FFFF0000"/>
        <rFont val="Arial Narrow"/>
        <family val="2"/>
      </rPr>
      <t>(bitte auswählen)</t>
    </r>
  </si>
  <si>
    <t>Versicherungsbeiträge bei Krankheit/Alter; ZVK-Beitrag</t>
  </si>
  <si>
    <t>nachgewiesene notwendige Ausgaben für die Einnahmen Kindergeld bis sonstiges Einkommen</t>
  </si>
  <si>
    <t>Ergebnis: siehe Arbeitsblatt "Berechnung"</t>
  </si>
  <si>
    <t>VII</t>
  </si>
  <si>
    <t>Faktor Höchstmiete</t>
  </si>
  <si>
    <t>Faktor a</t>
  </si>
  <si>
    <t>Faktor b</t>
  </si>
  <si>
    <t>Faktor c</t>
  </si>
  <si>
    <t>Mietenstufe VII</t>
  </si>
  <si>
    <t xml:space="preserve">   Berechnung des Zuschusses zu den Versicherungsbeiträgen</t>
  </si>
  <si>
    <t>Privat krankenversichert?</t>
  </si>
  <si>
    <t>Private Pflegeversicherung selbst gezahlt</t>
  </si>
  <si>
    <r>
      <rPr>
        <sz val="12"/>
        <rFont val="Arial Narrow"/>
        <family val="2"/>
      </rPr>
      <t xml:space="preserve">Maximalbeitrag zur privaten </t>
    </r>
    <r>
      <rPr>
        <b/>
        <sz val="12"/>
        <rFont val="Arial Narrow"/>
        <family val="2"/>
      </rPr>
      <t>Pflege</t>
    </r>
    <r>
      <rPr>
        <sz val="12"/>
        <rFont val="Arial Narrow"/>
        <family val="2"/>
      </rPr>
      <t>versicherung</t>
    </r>
  </si>
  <si>
    <r>
      <rPr>
        <b/>
        <sz val="12"/>
        <rFont val="Arial Narrow"/>
        <family val="2"/>
      </rPr>
      <t>Gezahlter</t>
    </r>
    <r>
      <rPr>
        <sz val="12"/>
        <rFont val="Arial Narrow"/>
        <family val="2"/>
      </rPr>
      <t xml:space="preserve"> Beitrag zur gesetzlichen Krankenversicherung</t>
    </r>
  </si>
  <si>
    <r>
      <rPr>
        <b/>
        <sz val="12"/>
        <rFont val="Arial Narrow"/>
        <family val="2"/>
      </rPr>
      <t>Zusatzbeitrag</t>
    </r>
    <r>
      <rPr>
        <sz val="12"/>
        <rFont val="Arial Narrow"/>
        <family val="2"/>
      </rPr>
      <t xml:space="preserve"> zur gesetzlichen Krankenversicherung</t>
    </r>
  </si>
  <si>
    <t>Ungedeckt für private Krankenversicherung</t>
  </si>
  <si>
    <t>Gezahlt für privaten Pflegeversicherung</t>
  </si>
  <si>
    <t>Zusatzbeitrag zur gesetzlichen Krankenversicherung</t>
  </si>
  <si>
    <t>Zuschuss gemäß § 26 SGB II also</t>
  </si>
  <si>
    <r>
      <t xml:space="preserve">Version 5.1
</t>
    </r>
    <r>
      <rPr>
        <sz val="10"/>
        <color rgb="FF008000"/>
        <rFont val="Calibri"/>
        <family val="2"/>
      </rPr>
      <t>01.08.2022</t>
    </r>
  </si>
  <si>
    <t>Mehrbedarf Ernährung  in %</t>
  </si>
  <si>
    <t>Mehrbedarf in %
Des Regelsatzes Stufe 1</t>
  </si>
  <si>
    <t>im Berechnungsmonat</t>
  </si>
  <si>
    <t>1. Mukoviszidose/zystische Fibrose</t>
  </si>
  <si>
    <t>2. Zöliakie</t>
  </si>
  <si>
    <t>3. Terminale Niereninsuffizienz mit Dialysetherapie1</t>
  </si>
  <si>
    <t>4. Schluckstörung1
bei welcher aus ärztlicher Sicht der Einsatz sog. An­dickungspulver empfohlen wird</t>
  </si>
  <si>
    <t>In Höhe der tatsächlichen Aufwendungen für das Andickungspulver</t>
  </si>
  <si>
    <t>5. Krankheitsassoziierte Mangelernährung nach individueller medizinischer  Beurtei­lung
Folgende Krankheitsbilder k6nnen häufig zu einer entsprechenden 
Mangelernä­rung führen:
Tumorerkrankungen, Chronisch obstruktive Lungenerkrankungen (COPD), CED (Mor</t>
  </si>
  <si>
    <t>Siehe Liste</t>
  </si>
</sst>
</file>

<file path=xl/styles.xml><?xml version="1.0" encoding="utf-8"?>
<styleSheet xmlns="http://schemas.openxmlformats.org/spreadsheetml/2006/main">
  <numFmts count="30">
    <numFmt numFmtId="164" formatCode="#,##0.00\ [$€-407];[Red]\-#,##0.00\ [$€-407]"/>
    <numFmt numFmtId="165" formatCode="\ * #,##0.00&quot; € &quot;;\-* #,##0.00&quot; € &quot;;\ * \-#&quot; € &quot;;\ @\ "/>
    <numFmt numFmtId="166" formatCode="&quot;WAHR&quot;;&quot;WAHR&quot;;&quot;FALSCH&quot;"/>
    <numFmt numFmtId="167" formatCode="[$-407]dd/mm/yyyy"/>
    <numFmt numFmtId="168" formatCode="#,##0.00\ [$€-401]"/>
    <numFmt numFmtId="169" formatCode="[$-407]mmmm\ yy;@"/>
    <numFmt numFmtId="170" formatCode="#,##0;\-#,##0\ [$€]"/>
    <numFmt numFmtId="171" formatCode="dd/mm/yy;@"/>
    <numFmt numFmtId="172" formatCode="#,##0.00;\-#,##0.00\ [$€]"/>
    <numFmt numFmtId="173" formatCode="d/m/yy;@"/>
    <numFmt numFmtId="174" formatCode="#,##0.0&quot; m²&quot;"/>
    <numFmt numFmtId="175" formatCode="* #,##0.00&quot; € &quot;;\-* #,##0.00&quot; € &quot;;* \-#&quot; € &quot;;@\ "/>
    <numFmt numFmtId="176" formatCode="#,##0\ ;\-#,##0\ "/>
    <numFmt numFmtId="177" formatCode="#,##0.0&quot; km&quot;"/>
    <numFmt numFmtId="178" formatCode="#,##0.00\ ;\-#,##0.00\ "/>
    <numFmt numFmtId="179" formatCode="0\ %"/>
    <numFmt numFmtId="180" formatCode="0.00\ [$€-401]"/>
    <numFmt numFmtId="181" formatCode="#,##0.00&quot; €&quot;"/>
    <numFmt numFmtId="182" formatCode="#,##0&quot; km&quot;"/>
    <numFmt numFmtId="183" formatCode="#,##0&quot; m²&quot;"/>
    <numFmt numFmtId="184" formatCode="mmm\ yyyy"/>
    <numFmt numFmtId="185" formatCode="#,##0.00&quot; €&quot;;\-#,##0.00&quot; €&quot;"/>
    <numFmt numFmtId="186" formatCode="&quot; €&quot;* #,##0.00\ ;&quot; €&quot;* \(#,##0.00\);&quot; €&quot;* \-#\ ;\ @\ "/>
    <numFmt numFmtId="187" formatCode="0.00\ %"/>
    <numFmt numFmtId="188" formatCode="dd/mm/yy"/>
    <numFmt numFmtId="189" formatCode="#,##0.00&quot; €&quot;;[Red]\-#,##0.00&quot; €&quot;"/>
    <numFmt numFmtId="190" formatCode="0.0000000000\ ;[Red]\-0.0000000000\ "/>
    <numFmt numFmtId="191" formatCode="0.0000000000"/>
    <numFmt numFmtId="192" formatCode="#,##0&quot; €&quot;"/>
    <numFmt numFmtId="193" formatCode="0.0%"/>
  </numFmts>
  <fonts count="161">
    <font>
      <sz val="10"/>
      <name val="Arial"/>
    </font>
    <font>
      <sz val="10"/>
      <name val="Arial"/>
    </font>
    <font>
      <b/>
      <i/>
      <u/>
      <sz val="10"/>
      <name val="Arial"/>
    </font>
    <font>
      <b/>
      <i/>
      <sz val="16"/>
      <name val="Arial"/>
    </font>
    <font>
      <sz val="10"/>
      <color rgb="FFFFFFFF"/>
      <name val="Arial"/>
    </font>
    <font>
      <sz val="28"/>
      <color rgb="FFFF0000"/>
      <name val="Arial"/>
    </font>
    <font>
      <sz val="14"/>
      <name val="Arial"/>
    </font>
    <font>
      <sz val="10"/>
      <name val="Arial"/>
      <family val="2"/>
    </font>
    <font>
      <b/>
      <u/>
      <sz val="10"/>
      <name val="Arial"/>
    </font>
    <font>
      <b/>
      <sz val="11"/>
      <name val="Arial"/>
    </font>
    <font>
      <b/>
      <sz val="12"/>
      <name val="Arial"/>
      <family val="2"/>
    </font>
    <font>
      <b/>
      <sz val="14"/>
      <name val="Arial"/>
    </font>
    <font>
      <u/>
      <sz val="14"/>
      <color rgb="FF0000FF"/>
      <name val="Arial"/>
      <family val="2"/>
    </font>
    <font>
      <u/>
      <sz val="10"/>
      <color rgb="FF0000FF"/>
      <name val="Arial"/>
      <family val="2"/>
    </font>
    <font>
      <b/>
      <sz val="26"/>
      <color rgb="FFFF0000"/>
      <name val="Arial"/>
      <family val="2"/>
    </font>
    <font>
      <b/>
      <u/>
      <sz val="26"/>
      <color rgb="FFFF0000"/>
      <name val="Arial"/>
    </font>
    <font>
      <sz val="14"/>
      <color rgb="FFFF0000"/>
      <name val="Arial"/>
    </font>
    <font>
      <sz val="26"/>
      <color rgb="FFFF0000"/>
      <name val="Arial"/>
    </font>
    <font>
      <b/>
      <u/>
      <sz val="18"/>
      <color rgb="FF000000"/>
      <name val="Arial"/>
      <family val="2"/>
    </font>
    <font>
      <b/>
      <sz val="10"/>
      <color rgb="FFFF0000"/>
      <name val="Arial"/>
    </font>
    <font>
      <b/>
      <sz val="12"/>
      <color rgb="FFFF0000"/>
      <name val="Arial"/>
    </font>
    <font>
      <b/>
      <sz val="12"/>
      <color rgb="FF008000"/>
      <name val="Calibri"/>
      <family val="2"/>
    </font>
    <font>
      <sz val="10"/>
      <color rgb="FF008000"/>
      <name val="Calibri"/>
      <family val="2"/>
    </font>
    <font>
      <sz val="9"/>
      <color rgb="FF000000"/>
      <name val="Arial"/>
      <family val="2"/>
    </font>
    <font>
      <sz val="10"/>
      <color rgb="FFFFFFFF"/>
      <name val="Arial"/>
      <family val="2"/>
    </font>
    <font>
      <b/>
      <sz val="10"/>
      <color rgb="FFFF0000"/>
      <name val="Arial"/>
      <family val="2"/>
    </font>
    <font>
      <b/>
      <sz val="14"/>
      <color rgb="FFFF0000"/>
      <name val="Arial"/>
      <family val="2"/>
    </font>
    <font>
      <b/>
      <sz val="18"/>
      <color rgb="FF000000"/>
      <name val="Arial"/>
      <family val="2"/>
    </font>
    <font>
      <sz val="16"/>
      <color rgb="FF000000"/>
      <name val="Arial"/>
      <family val="2"/>
    </font>
    <font>
      <b/>
      <sz val="10"/>
      <color rgb="FF000000"/>
      <name val="Arial"/>
    </font>
    <font>
      <sz val="10"/>
      <color rgb="FF000000"/>
      <name val="Arial"/>
    </font>
    <font>
      <b/>
      <sz val="10"/>
      <name val="Arial"/>
      <family val="2"/>
    </font>
    <font>
      <b/>
      <u/>
      <sz val="11"/>
      <color rgb="FFFF0000"/>
      <name val="Arial"/>
    </font>
    <font>
      <u/>
      <sz val="10"/>
      <name val="Arial"/>
    </font>
    <font>
      <b/>
      <sz val="10"/>
      <color rgb="FF000000"/>
      <name val="Arial"/>
      <family val="2"/>
    </font>
    <font>
      <sz val="12"/>
      <name val="Arial Narrow"/>
      <family val="2"/>
    </font>
    <font>
      <sz val="11"/>
      <color rgb="FF333333"/>
      <name val="Arial"/>
      <family val="2"/>
    </font>
    <font>
      <b/>
      <sz val="10"/>
      <color rgb="FFFFFFFF"/>
      <name val="Arial"/>
      <family val="2"/>
    </font>
    <font>
      <b/>
      <sz val="10"/>
      <color rgb="FF0000FF"/>
      <name val="Arial"/>
      <family val="2"/>
    </font>
    <font>
      <sz val="10"/>
      <color rgb="FFFF0000"/>
      <name val="Arial"/>
      <family val="2"/>
    </font>
    <font>
      <b/>
      <u/>
      <sz val="13"/>
      <color rgb="FFFF0000"/>
      <name val="Arial"/>
      <family val="2"/>
    </font>
    <font>
      <b/>
      <sz val="8"/>
      <color rgb="FFFF0000"/>
      <name val="Arial"/>
      <family val="2"/>
    </font>
    <font>
      <b/>
      <u/>
      <sz val="11"/>
      <color rgb="FF0000FF"/>
      <name val="Arial"/>
      <family val="2"/>
    </font>
    <font>
      <b/>
      <sz val="10"/>
      <color rgb="FFFF0000"/>
      <name val="Calibri"/>
      <family val="2"/>
    </font>
    <font>
      <b/>
      <sz val="10"/>
      <color rgb="FF999999"/>
      <name val="Arial"/>
      <family val="2"/>
    </font>
    <font>
      <sz val="10"/>
      <color rgb="FFC0C0C0"/>
      <name val="Arial"/>
      <family val="2"/>
    </font>
    <font>
      <i/>
      <sz val="11"/>
      <color rgb="FF7F7F7F"/>
      <name val="Calibri"/>
      <family val="2"/>
    </font>
    <font>
      <b/>
      <sz val="12"/>
      <name val="Arial Narrow"/>
      <family val="2"/>
    </font>
    <font>
      <b/>
      <sz val="11"/>
      <color rgb="FF000000"/>
      <name val="Arial"/>
    </font>
    <font>
      <sz val="12"/>
      <color rgb="FFFF0000"/>
      <name val="Arial"/>
      <family val="2"/>
    </font>
    <font>
      <sz val="10"/>
      <color rgb="FFFF0000"/>
      <name val="Arial"/>
    </font>
    <font>
      <b/>
      <sz val="14"/>
      <color rgb="FFFF0000"/>
      <name val="Arial"/>
    </font>
    <font>
      <sz val="10"/>
      <color rgb="FF008000"/>
      <name val="Arial"/>
      <family val="2"/>
    </font>
    <font>
      <b/>
      <sz val="12"/>
      <color rgb="FFFF0000"/>
      <name val="Calibri"/>
      <family val="2"/>
    </font>
    <font>
      <b/>
      <sz val="14"/>
      <name val="Arial Narrow"/>
      <family val="2"/>
    </font>
    <font>
      <b/>
      <sz val="16"/>
      <name val="Arial Narrow"/>
      <family val="2"/>
    </font>
    <font>
      <b/>
      <sz val="14"/>
      <color rgb="FF000000"/>
      <name val="Arial Narrow"/>
      <family val="2"/>
    </font>
    <font>
      <b/>
      <u/>
      <sz val="11"/>
      <color rgb="FFFF0000"/>
      <name val="Arial"/>
      <family val="2"/>
    </font>
    <font>
      <sz val="10"/>
      <color rgb="FFFFFF00"/>
      <name val="Arial"/>
      <family val="2"/>
    </font>
    <font>
      <b/>
      <sz val="12"/>
      <color rgb="FFFF0000"/>
      <name val="Arial"/>
      <family val="2"/>
    </font>
    <font>
      <sz val="12"/>
      <name val="Arial"/>
    </font>
    <font>
      <sz val="9"/>
      <color rgb="FF000000"/>
      <name val="Verdana"/>
      <family val="2"/>
    </font>
    <font>
      <b/>
      <sz val="9"/>
      <color rgb="FF000000"/>
      <name val="Tahoma"/>
      <family val="2"/>
    </font>
    <font>
      <sz val="9"/>
      <color rgb="FF000000"/>
      <name val="Tahoma"/>
      <family val="2"/>
    </font>
    <font>
      <sz val="10"/>
      <color rgb="FF000000"/>
      <name val="Arial"/>
      <family val="2"/>
    </font>
    <font>
      <b/>
      <sz val="18"/>
      <color rgb="FFFFFFFF"/>
      <name val="Arial Narrow"/>
      <family val="2"/>
    </font>
    <font>
      <sz val="11.5"/>
      <name val="Arial Narrow"/>
      <family val="2"/>
    </font>
    <font>
      <sz val="11.5"/>
      <color rgb="FF000000"/>
      <name val="Arial Narrow"/>
      <family val="2"/>
    </font>
    <font>
      <sz val="11.5"/>
      <color rgb="FFFFFFFF"/>
      <name val="Arial Narrow"/>
      <family val="2"/>
    </font>
    <font>
      <b/>
      <i/>
      <sz val="14"/>
      <name val="Arial Narrow"/>
      <family val="2"/>
    </font>
    <font>
      <sz val="9"/>
      <name val="Verdana"/>
      <family val="2"/>
    </font>
    <font>
      <b/>
      <sz val="16"/>
      <color rgb="FFFFFFFF"/>
      <name val="Arial Narrow"/>
      <family val="2"/>
    </font>
    <font>
      <sz val="11"/>
      <color rgb="FFFFFFFF"/>
      <name val="Arial Narrow"/>
      <family val="2"/>
    </font>
    <font>
      <sz val="9"/>
      <name val="Arial Narrow"/>
      <family val="2"/>
    </font>
    <font>
      <sz val="12"/>
      <color rgb="FFFFFFFF"/>
      <name val="Arial Narrow"/>
      <family val="2"/>
    </font>
    <font>
      <sz val="12"/>
      <color rgb="FF000000"/>
      <name val="Arial Narrow"/>
      <family val="2"/>
    </font>
    <font>
      <b/>
      <sz val="11.5"/>
      <name val="Arial Narrow"/>
      <family val="2"/>
    </font>
    <font>
      <b/>
      <sz val="13"/>
      <color rgb="FFFF0000"/>
      <name val="Arial Narrow"/>
      <family val="2"/>
    </font>
    <font>
      <i/>
      <sz val="12"/>
      <name val="Arial Narrow"/>
      <family val="2"/>
    </font>
    <font>
      <i/>
      <sz val="10"/>
      <color rgb="FF000000"/>
      <name val="Arial"/>
      <family val="2"/>
    </font>
    <font>
      <b/>
      <sz val="9"/>
      <name val="Verdana"/>
      <family val="2"/>
    </font>
    <font>
      <b/>
      <sz val="11.5"/>
      <color rgb="FFFFFFFF"/>
      <name val="Arial Narrow"/>
      <family val="2"/>
    </font>
    <font>
      <sz val="8"/>
      <name val="Arial Narrow"/>
      <family val="2"/>
    </font>
    <font>
      <u/>
      <sz val="9"/>
      <color rgb="FF0000FF"/>
      <name val="Arial"/>
      <family val="2"/>
    </font>
    <font>
      <sz val="1"/>
      <color rgb="FFFFFFFF"/>
      <name val="Arial Narrow"/>
      <family val="2"/>
    </font>
    <font>
      <b/>
      <u/>
      <sz val="13"/>
      <name val="Arial Narrow"/>
      <family val="2"/>
    </font>
    <font>
      <sz val="10"/>
      <name val="Arial Narrow"/>
      <family val="2"/>
    </font>
    <font>
      <i/>
      <sz val="10"/>
      <name val="Arial Narrow"/>
      <family val="2"/>
    </font>
    <font>
      <b/>
      <sz val="9"/>
      <name val="Arial Narrow"/>
      <family val="2"/>
    </font>
    <font>
      <sz val="11"/>
      <name val="Arial Narrow"/>
      <family val="2"/>
    </font>
    <font>
      <i/>
      <sz val="11"/>
      <name val="Arial Narrow"/>
      <family val="2"/>
    </font>
    <font>
      <b/>
      <sz val="10"/>
      <name val="Arial Narrow"/>
      <family val="2"/>
    </font>
    <font>
      <u/>
      <sz val="12"/>
      <name val="Arial Narrow"/>
      <family val="2"/>
    </font>
    <font>
      <b/>
      <i/>
      <u/>
      <sz val="12"/>
      <name val="Arial Narrow"/>
      <family val="2"/>
    </font>
    <font>
      <sz val="10"/>
      <color rgb="FFFFFFFF"/>
      <name val="Arial Narrow"/>
      <family val="2"/>
    </font>
    <font>
      <i/>
      <sz val="9"/>
      <name val="Arial Narrow"/>
      <family val="2"/>
    </font>
    <font>
      <b/>
      <u/>
      <sz val="12"/>
      <name val="Arial Narrow"/>
      <family val="2"/>
    </font>
    <font>
      <sz val="12"/>
      <color rgb="FFF2F2F2"/>
      <name val="Arial Narrow"/>
      <family val="2"/>
    </font>
    <font>
      <b/>
      <sz val="15"/>
      <name val="Arial Narrow"/>
      <family val="2"/>
    </font>
    <font>
      <sz val="11.5"/>
      <color rgb="FFF2F2F2"/>
      <name val="Arial Narrow"/>
      <family val="2"/>
    </font>
    <font>
      <i/>
      <sz val="10"/>
      <color rgb="FFFFFFFF"/>
      <name val="Arial Narrow"/>
      <family val="2"/>
    </font>
    <font>
      <b/>
      <sz val="14"/>
      <color rgb="FF0000FF"/>
      <name val="Arial Narrow"/>
      <family val="2"/>
    </font>
    <font>
      <b/>
      <i/>
      <sz val="12"/>
      <color rgb="FFFF0000"/>
      <name val="Arial Narrow"/>
      <family val="2"/>
    </font>
    <font>
      <b/>
      <sz val="12"/>
      <color rgb="FF0000FF"/>
      <name val="Arial Narrow"/>
      <family val="2"/>
    </font>
    <font>
      <b/>
      <i/>
      <sz val="9.5"/>
      <color rgb="FFFF0000"/>
      <name val="Arial"/>
      <family val="2"/>
    </font>
    <font>
      <i/>
      <sz val="8"/>
      <name val="Arial"/>
      <family val="2"/>
    </font>
    <font>
      <sz val="12"/>
      <name val="Arial"/>
      <family val="2"/>
    </font>
    <font>
      <sz val="8"/>
      <name val="Arial"/>
      <family val="2"/>
    </font>
    <font>
      <b/>
      <sz val="18"/>
      <color rgb="FF92D050"/>
      <name val="Arial Narrow"/>
      <family val="2"/>
    </font>
    <font>
      <i/>
      <sz val="11"/>
      <color rgb="FFFF0000"/>
      <name val="Arial"/>
      <family val="2"/>
    </font>
    <font>
      <b/>
      <sz val="12"/>
      <color rgb="FFFF0000"/>
      <name val="Arial Narrow"/>
      <family val="2"/>
    </font>
    <font>
      <b/>
      <i/>
      <sz val="10"/>
      <color rgb="FF0070C0"/>
      <name val="Arial Narrow"/>
      <family val="2"/>
    </font>
    <font>
      <b/>
      <i/>
      <sz val="12"/>
      <color rgb="FF0070C0"/>
      <name val="Arial Narrow"/>
      <family val="2"/>
    </font>
    <font>
      <b/>
      <sz val="12"/>
      <color rgb="FF0070C0"/>
      <name val="Arial Narrow"/>
      <family val="2"/>
    </font>
    <font>
      <b/>
      <u/>
      <sz val="9"/>
      <name val="Arial Narrow"/>
      <family val="2"/>
    </font>
    <font>
      <sz val="4"/>
      <name val="Arial Narrow"/>
      <family val="2"/>
    </font>
    <font>
      <b/>
      <sz val="20"/>
      <color rgb="FF000000"/>
      <name val="Arial Narrow"/>
      <family val="2"/>
    </font>
    <font>
      <b/>
      <sz val="20"/>
      <color rgb="FFFFFFFF"/>
      <name val="Arial Narrow"/>
      <family val="2"/>
    </font>
    <font>
      <sz val="16"/>
      <name val="Arial Narrow"/>
      <family val="2"/>
    </font>
    <font>
      <sz val="16"/>
      <color rgb="FFFFFFFF"/>
      <name val="Arial Narrow"/>
      <family val="2"/>
    </font>
    <font>
      <sz val="14"/>
      <name val="Arial Narrow"/>
      <family val="2"/>
    </font>
    <font>
      <sz val="13"/>
      <name val="Arial Narrow"/>
      <family val="2"/>
    </font>
    <font>
      <i/>
      <sz val="16"/>
      <color rgb="FFFFFFFF"/>
      <name val="Arial Narrow"/>
      <family val="2"/>
    </font>
    <font>
      <u/>
      <sz val="11.5"/>
      <name val="Arial Narrow"/>
      <family val="2"/>
    </font>
    <font>
      <b/>
      <sz val="13"/>
      <name val="Arial Narrow"/>
      <family val="2"/>
    </font>
    <font>
      <b/>
      <i/>
      <sz val="11"/>
      <color rgb="FF0070C0"/>
      <name val="Arial Narrow"/>
      <family val="2"/>
    </font>
    <font>
      <b/>
      <u/>
      <sz val="16"/>
      <name val="Arial Narrow"/>
      <family val="2"/>
    </font>
    <font>
      <b/>
      <sz val="16"/>
      <color rgb="FF0070C0"/>
      <name val="Arial Narrow"/>
      <family val="2"/>
    </font>
    <font>
      <sz val="13"/>
      <color rgb="FFFFFFFF"/>
      <name val="Arial Narrow"/>
      <family val="2"/>
    </font>
    <font>
      <sz val="11.5"/>
      <color rgb="FFE6E905"/>
      <name val="Arial Narrow"/>
      <family val="2"/>
    </font>
    <font>
      <b/>
      <sz val="12"/>
      <color rgb="FFFFFFFF"/>
      <name val="Arial Narrow"/>
      <family val="2"/>
    </font>
    <font>
      <b/>
      <sz val="14.5"/>
      <name val="Arial Narrow"/>
      <family val="2"/>
    </font>
    <font>
      <b/>
      <sz val="11"/>
      <name val="Arial Narrow"/>
      <family val="2"/>
    </font>
    <font>
      <b/>
      <u/>
      <sz val="12"/>
      <color rgb="FF0000FF"/>
      <name val="Arial"/>
      <family val="2"/>
    </font>
    <font>
      <b/>
      <i/>
      <sz val="10"/>
      <color rgb="FFFFFFFF"/>
      <name val="Arial Narrow"/>
      <family val="2"/>
    </font>
    <font>
      <sz val="13"/>
      <color rgb="FFD9D9D9"/>
      <name val="Arial Narrow"/>
      <family val="2"/>
    </font>
    <font>
      <i/>
      <sz val="13"/>
      <name val="Arial Narrow"/>
      <family val="2"/>
    </font>
    <font>
      <b/>
      <u/>
      <sz val="11.5"/>
      <name val="Arial Narrow"/>
      <family val="2"/>
    </font>
    <font>
      <b/>
      <u/>
      <sz val="14"/>
      <color rgb="FF0000FF"/>
      <name val="Arial Narrow"/>
      <family val="2"/>
    </font>
    <font>
      <sz val="10"/>
      <name val="Verdana"/>
      <family val="2"/>
    </font>
    <font>
      <sz val="12"/>
      <color rgb="FFC0C0C0"/>
      <name val="Arial Narrow"/>
      <family val="2"/>
    </font>
    <font>
      <sz val="12"/>
      <color rgb="FFBFBFBF"/>
      <name val="Arial Narrow"/>
      <family val="2"/>
    </font>
    <font>
      <b/>
      <i/>
      <sz val="14"/>
      <name val="Arial"/>
      <family val="2"/>
    </font>
    <font>
      <i/>
      <sz val="11.5"/>
      <color rgb="FFFFFFFF"/>
      <name val="Arial Narrow"/>
      <family val="2"/>
    </font>
    <font>
      <b/>
      <sz val="11"/>
      <color rgb="FF0070C0"/>
      <name val="Arial Narrow"/>
      <family val="2"/>
    </font>
    <font>
      <i/>
      <sz val="10"/>
      <color rgb="FF2B2B2B"/>
      <name val="Inherit"/>
    </font>
    <font>
      <i/>
      <sz val="10"/>
      <color rgb="FFFFFFFF"/>
      <name val="Arial"/>
      <family val="2"/>
    </font>
    <font>
      <b/>
      <i/>
      <sz val="10"/>
      <color rgb="FFFF0000"/>
      <name val="Arial Narrow"/>
      <family val="2"/>
    </font>
    <font>
      <b/>
      <i/>
      <sz val="11.5"/>
      <color rgb="FFFF0000"/>
      <name val="Arial Narrow"/>
      <family val="2"/>
    </font>
    <font>
      <b/>
      <sz val="11.5"/>
      <color rgb="FFFF0000"/>
      <name val="Arial Narrow"/>
      <family val="2"/>
    </font>
    <font>
      <sz val="8.5"/>
      <name val="Arial Narrow"/>
      <family val="2"/>
    </font>
    <font>
      <b/>
      <sz val="14"/>
      <color rgb="FFFFFFFF"/>
      <name val="Arial Narrow"/>
      <family val="2"/>
    </font>
    <font>
      <sz val="14"/>
      <color rgb="FFFFFFFF"/>
      <name val="Arial Narrow"/>
      <family val="2"/>
    </font>
    <font>
      <sz val="11"/>
      <name val="Arial"/>
      <family val="2"/>
    </font>
    <font>
      <b/>
      <u/>
      <sz val="14"/>
      <name val="Arial"/>
      <family val="2"/>
    </font>
    <font>
      <b/>
      <sz val="11"/>
      <name val="Arial"/>
      <family val="2"/>
    </font>
    <font>
      <u/>
      <sz val="8"/>
      <color rgb="FF0000FF"/>
      <name val="Arial"/>
      <family val="2"/>
    </font>
    <font>
      <b/>
      <u/>
      <sz val="12"/>
      <color rgb="FFFF0000"/>
      <name val="Arial Narrow"/>
      <family val="2"/>
    </font>
    <font>
      <sz val="12"/>
      <color rgb="FFFFFFFF"/>
      <name val="Arial"/>
      <family val="2"/>
    </font>
    <font>
      <i/>
      <sz val="10"/>
      <color rgb="FF000000"/>
      <name val="Arial Narrow"/>
      <family val="2"/>
    </font>
    <font>
      <sz val="11"/>
      <color rgb="FF000000"/>
      <name val="Arial Narrow"/>
      <family val="2"/>
    </font>
  </fonts>
  <fills count="43">
    <fill>
      <patternFill patternType="none"/>
    </fill>
    <fill>
      <patternFill patternType="gray125"/>
    </fill>
    <fill>
      <patternFill patternType="solid">
        <fgColor rgb="FFFFFF00"/>
        <bgColor rgb="FFFFFF38"/>
      </patternFill>
    </fill>
    <fill>
      <patternFill patternType="solid">
        <fgColor rgb="FFFFFFCC"/>
        <bgColor rgb="FFEBF1DE"/>
      </patternFill>
    </fill>
    <fill>
      <patternFill patternType="solid">
        <fgColor rgb="FFFFFFFF"/>
        <bgColor rgb="FFF2F2F2"/>
      </patternFill>
    </fill>
    <fill>
      <patternFill patternType="solid">
        <fgColor rgb="FFCCFFCC"/>
        <bgColor rgb="FFCCFF99"/>
      </patternFill>
    </fill>
    <fill>
      <patternFill patternType="solid">
        <fgColor rgb="FFFFFF99"/>
        <bgColor rgb="FFFFFF6D"/>
      </patternFill>
    </fill>
    <fill>
      <patternFill patternType="solid">
        <fgColor rgb="FF969696"/>
        <bgColor rgb="FF999999"/>
      </patternFill>
    </fill>
    <fill>
      <patternFill patternType="solid">
        <fgColor rgb="FFFFFF6D"/>
        <bgColor rgb="FFFFFF99"/>
      </patternFill>
    </fill>
    <fill>
      <patternFill patternType="solid">
        <fgColor rgb="FFEEECE1"/>
        <bgColor rgb="FFEBF1DE"/>
      </patternFill>
    </fill>
    <fill>
      <patternFill patternType="solid">
        <fgColor rgb="FFB9CDE5"/>
        <bgColor rgb="FFB7DEE8"/>
      </patternFill>
    </fill>
    <fill>
      <patternFill patternType="solid">
        <fgColor rgb="FFC3D69B"/>
        <bgColor rgb="FFD7E4BD"/>
      </patternFill>
    </fill>
    <fill>
      <patternFill patternType="solid">
        <fgColor rgb="FFFF99CC"/>
        <bgColor rgb="FFE6B9B8"/>
      </patternFill>
    </fill>
    <fill>
      <patternFill patternType="solid">
        <fgColor rgb="FFFFFF38"/>
        <bgColor rgb="FFFFFF6D"/>
      </patternFill>
    </fill>
    <fill>
      <patternFill patternType="solid">
        <fgColor rgb="FF10243E"/>
        <bgColor rgb="FF2E2E2E"/>
      </patternFill>
    </fill>
    <fill>
      <patternFill patternType="solid">
        <fgColor rgb="FF00FFFF"/>
        <bgColor rgb="FF66FFFF"/>
      </patternFill>
    </fill>
    <fill>
      <patternFill patternType="solid">
        <fgColor rgb="FFC0C0C0"/>
        <bgColor rgb="FFBFBFBF"/>
      </patternFill>
    </fill>
    <fill>
      <patternFill patternType="solid">
        <fgColor rgb="FFD7E4BD"/>
        <bgColor rgb="FFDDD9C3"/>
      </patternFill>
    </fill>
    <fill>
      <patternFill patternType="solid">
        <fgColor rgb="FFCC99FF"/>
        <bgColor rgb="FFB3A2C7"/>
      </patternFill>
    </fill>
    <fill>
      <patternFill patternType="solid">
        <fgColor rgb="FFB3A2C7"/>
        <bgColor rgb="FFA6A6A6"/>
      </patternFill>
    </fill>
    <fill>
      <patternFill patternType="solid">
        <fgColor rgb="FF99CCFF"/>
        <bgColor rgb="FFB9CDE5"/>
      </patternFill>
    </fill>
    <fill>
      <patternFill patternType="solid">
        <fgColor rgb="FFFAC090"/>
        <bgColor rgb="FFFFCC99"/>
      </patternFill>
    </fill>
    <fill>
      <patternFill patternType="solid">
        <fgColor rgb="FFF2F2F2"/>
        <bgColor rgb="FFEEECE1"/>
      </patternFill>
    </fill>
    <fill>
      <patternFill patternType="solid">
        <fgColor rgb="FFCCFFFF"/>
        <bgColor rgb="FFDBEEF4"/>
      </patternFill>
    </fill>
    <fill>
      <patternFill patternType="solid">
        <fgColor rgb="FFD9D9D9"/>
        <bgColor rgb="FFDDD9C3"/>
      </patternFill>
    </fill>
    <fill>
      <patternFill patternType="solid">
        <fgColor rgb="FFBFBFBF"/>
        <bgColor rgb="FFC0C0C0"/>
      </patternFill>
    </fill>
    <fill>
      <patternFill patternType="solid">
        <fgColor rgb="FFF2DCDB"/>
        <bgColor rgb="FFFDEADA"/>
      </patternFill>
    </fill>
    <fill>
      <patternFill patternType="solid">
        <fgColor rgb="FFEBF1DE"/>
        <bgColor rgb="FFEEECE1"/>
      </patternFill>
    </fill>
    <fill>
      <patternFill patternType="solid">
        <fgColor rgb="FFB7DEE8"/>
        <bgColor rgb="FFB9CDE5"/>
      </patternFill>
    </fill>
    <fill>
      <patternFill patternType="solid">
        <fgColor rgb="FFDBEEF4"/>
        <bgColor rgb="FFDCE6F2"/>
      </patternFill>
    </fill>
    <fill>
      <patternFill patternType="solid">
        <fgColor rgb="FFFDEADA"/>
        <bgColor rgb="FFEEECE1"/>
      </patternFill>
    </fill>
    <fill>
      <patternFill patternType="solid">
        <fgColor rgb="FFDCE6F2"/>
        <bgColor rgb="FFDBEEF4"/>
      </patternFill>
    </fill>
    <fill>
      <patternFill patternType="solid">
        <fgColor rgb="FFDDD9C3"/>
        <bgColor rgb="FFD9D9D9"/>
      </patternFill>
    </fill>
    <fill>
      <patternFill patternType="solid">
        <fgColor rgb="FF8EB4E3"/>
        <bgColor rgb="FF99CCFF"/>
      </patternFill>
    </fill>
    <fill>
      <patternFill patternType="solid">
        <fgColor rgb="FFE6B9B8"/>
        <bgColor rgb="FFFAC090"/>
      </patternFill>
    </fill>
    <fill>
      <patternFill patternType="solid">
        <fgColor rgb="FF234165"/>
        <bgColor rgb="FF2E2E2E"/>
      </patternFill>
    </fill>
    <fill>
      <patternFill patternType="solid">
        <fgColor rgb="FF000000"/>
        <bgColor rgb="FF10243E"/>
      </patternFill>
    </fill>
    <fill>
      <patternFill patternType="solid">
        <fgColor rgb="FFFCD5B5"/>
        <bgColor rgb="FFFFCC99"/>
      </patternFill>
    </fill>
    <fill>
      <patternFill patternType="solid">
        <fgColor rgb="FFFFCC99"/>
        <bgColor rgb="FFFAC090"/>
      </patternFill>
    </fill>
    <fill>
      <patternFill patternType="solid">
        <fgColor rgb="FFCCFF99"/>
        <bgColor rgb="FFCCFFCC"/>
      </patternFill>
    </fill>
    <fill>
      <patternFill patternType="solid">
        <fgColor rgb="FFA6A6A6"/>
        <bgColor rgb="FF999999"/>
      </patternFill>
    </fill>
    <fill>
      <patternFill patternType="solid">
        <fgColor rgb="FFFFCC00"/>
        <bgColor rgb="FFE6E905"/>
      </patternFill>
    </fill>
    <fill>
      <patternFill patternType="solid">
        <fgColor rgb="FFFF00FF"/>
        <bgColor rgb="FF800080"/>
      </patternFill>
    </fill>
  </fills>
  <borders count="134">
    <border>
      <left/>
      <right/>
      <top/>
      <bottom/>
      <diagonal/>
    </border>
    <border>
      <left style="thick">
        <color rgb="FFFF0000"/>
      </left>
      <right style="thick">
        <color rgb="FFFF0000"/>
      </right>
      <top style="thick">
        <color rgb="FFFF0000"/>
      </top>
      <bottom style="thick">
        <color rgb="FFFF0000"/>
      </bottom>
      <diagonal/>
    </border>
    <border>
      <left/>
      <right style="thin">
        <color auto="1"/>
      </right>
      <top style="thick">
        <color rgb="FFFF0000"/>
      </top>
      <bottom style="thin">
        <color auto="1"/>
      </bottom>
      <diagonal/>
    </border>
    <border>
      <left style="thin">
        <color auto="1"/>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hair">
        <color auto="1"/>
      </right>
      <top/>
      <bottom/>
      <diagonal/>
    </border>
    <border>
      <left style="hair">
        <color auto="1"/>
      </left>
      <right style="hair">
        <color auto="1"/>
      </right>
      <top/>
      <bottom/>
      <diagonal/>
    </border>
    <border>
      <left style="thin">
        <color auto="1"/>
      </left>
      <right/>
      <top/>
      <bottom style="thin">
        <color auto="1"/>
      </bottom>
      <diagonal/>
    </border>
    <border>
      <left/>
      <right/>
      <top/>
      <bottom style="hair">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rgb="FFFF0000"/>
      </left>
      <right/>
      <top style="thin">
        <color rgb="FFFF0000"/>
      </top>
      <bottom style="thin">
        <color rgb="FFFF0000"/>
      </bottom>
      <diagonal/>
    </border>
    <border>
      <left style="medium">
        <color auto="1"/>
      </left>
      <right style="thin">
        <color auto="1"/>
      </right>
      <top style="thin">
        <color auto="1"/>
      </top>
      <bottom style="thin">
        <color auto="1"/>
      </bottom>
      <diagonal/>
    </border>
    <border>
      <left style="thin">
        <color auto="1"/>
      </left>
      <right style="thin">
        <color auto="1"/>
      </right>
      <top style="hair">
        <color auto="1"/>
      </top>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medium">
        <color auto="1"/>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style="medium">
        <color auto="1"/>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style="medium">
        <color auto="1"/>
      </left>
      <right/>
      <top style="thin">
        <color auto="1"/>
      </top>
      <bottom style="thin">
        <color auto="1"/>
      </bottom>
      <diagonal/>
    </border>
    <border>
      <left style="medium">
        <color auto="1"/>
      </left>
      <right/>
      <top/>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right style="medium">
        <color auto="1"/>
      </right>
      <top/>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right style="thick">
        <color auto="1"/>
      </right>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bottom style="thin">
        <color auto="1"/>
      </bottom>
      <diagonal/>
    </border>
    <border>
      <left/>
      <right style="thick">
        <color rgb="FF7B808E"/>
      </right>
      <top/>
      <bottom style="thin">
        <color auto="1"/>
      </bottom>
      <diagonal/>
    </border>
    <border>
      <left/>
      <right style="medium">
        <color rgb="FF808080"/>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medium">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medium">
        <color rgb="FF808080"/>
      </right>
      <top style="thin">
        <color auto="1"/>
      </top>
      <bottom style="thin">
        <color auto="1"/>
      </bottom>
      <diagonal/>
    </border>
    <border>
      <left style="medium">
        <color rgb="FF808080"/>
      </left>
      <right style="medium">
        <color rgb="FF808080"/>
      </right>
      <top style="thin">
        <color auto="1"/>
      </top>
      <bottom style="thin">
        <color auto="1"/>
      </bottom>
      <diagonal/>
    </border>
    <border>
      <left/>
      <right style="thin">
        <color auto="1"/>
      </right>
      <top/>
      <bottom/>
      <diagonal/>
    </border>
    <border>
      <left style="medium">
        <color auto="1"/>
      </left>
      <right style="medium">
        <color rgb="FF808080"/>
      </right>
      <top style="thin">
        <color auto="1"/>
      </top>
      <bottom style="medium">
        <color auto="1"/>
      </bottom>
      <diagonal/>
    </border>
    <border>
      <left/>
      <right style="medium">
        <color rgb="FF808080"/>
      </right>
      <top style="thin">
        <color auto="1"/>
      </top>
      <bottom style="medium">
        <color auto="1"/>
      </bottom>
      <diagonal/>
    </border>
    <border>
      <left style="medium">
        <color rgb="FF808080"/>
      </left>
      <right style="medium">
        <color rgb="FF808080"/>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rgb="FF808080"/>
      </right>
      <top style="medium">
        <color auto="1"/>
      </top>
      <bottom style="thin">
        <color auto="1"/>
      </bottom>
      <diagonal/>
    </border>
    <border>
      <left/>
      <right style="medium">
        <color rgb="FF808080"/>
      </right>
      <top style="medium">
        <color auto="1"/>
      </top>
      <bottom style="thin">
        <color auto="1"/>
      </bottom>
      <diagonal/>
    </border>
    <border>
      <left style="medium">
        <color rgb="FF808080"/>
      </left>
      <right style="medium">
        <color rgb="FF808080"/>
      </right>
      <top style="medium">
        <color auto="1"/>
      </top>
      <bottom style="thin">
        <color auto="1"/>
      </bottom>
      <diagonal/>
    </border>
    <border>
      <left style="medium">
        <color auto="1"/>
      </left>
      <right style="medium">
        <color rgb="FF808080"/>
      </right>
      <top/>
      <bottom style="thin">
        <color auto="1"/>
      </bottom>
      <diagonal/>
    </border>
    <border>
      <left style="medium">
        <color auto="1"/>
      </left>
      <right/>
      <top style="thin">
        <color auto="1"/>
      </top>
      <bottom style="double">
        <color auto="1"/>
      </bottom>
      <diagonal/>
    </border>
    <border>
      <left style="thin">
        <color auto="1"/>
      </left>
      <right/>
      <top style="thin">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medium">
        <color auto="1"/>
      </left>
      <right style="medium">
        <color rgb="FF808080"/>
      </right>
      <top/>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style="medium">
        <color auto="1"/>
      </bottom>
      <diagonal/>
    </border>
    <border>
      <left/>
      <right style="medium">
        <color auto="1"/>
      </right>
      <top style="medium">
        <color auto="1"/>
      </top>
      <bottom style="medium">
        <color auto="1"/>
      </bottom>
      <diagonal/>
    </border>
    <border>
      <left style="medium">
        <color auto="1"/>
      </left>
      <right style="medium">
        <color rgb="FF808080"/>
      </right>
      <top style="thin">
        <color auto="1"/>
      </top>
      <bottom style="double">
        <color auto="1"/>
      </bottom>
      <diagonal/>
    </border>
    <border>
      <left/>
      <right style="medium">
        <color rgb="FF808080"/>
      </right>
      <top style="thin">
        <color auto="1"/>
      </top>
      <bottom style="double">
        <color auto="1"/>
      </bottom>
      <diagonal/>
    </border>
    <border>
      <left style="medium">
        <color rgb="FF808080"/>
      </left>
      <right style="medium">
        <color rgb="FF808080"/>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rgb="FF808080"/>
      </right>
      <top style="double">
        <color auto="1"/>
      </top>
      <bottom style="medium">
        <color auto="1"/>
      </bottom>
      <diagonal/>
    </border>
    <border>
      <left/>
      <right style="medium">
        <color rgb="FF808080"/>
      </right>
      <top style="double">
        <color auto="1"/>
      </top>
      <bottom style="medium">
        <color auto="1"/>
      </bottom>
      <diagonal/>
    </border>
    <border>
      <left style="medium">
        <color rgb="FF808080"/>
      </left>
      <right style="medium">
        <color rgb="FF808080"/>
      </right>
      <top style="double">
        <color auto="1"/>
      </top>
      <bottom style="medium">
        <color auto="1"/>
      </bottom>
      <diagonal/>
    </border>
    <border>
      <left/>
      <right style="medium">
        <color auto="1"/>
      </right>
      <top style="double">
        <color auto="1"/>
      </top>
      <bottom style="medium">
        <color auto="1"/>
      </bottom>
      <diagonal/>
    </border>
    <border>
      <left/>
      <right/>
      <top style="double">
        <color auto="1"/>
      </top>
      <bottom/>
      <diagonal/>
    </border>
    <border>
      <left/>
      <right style="medium">
        <color auto="1"/>
      </right>
      <top style="double">
        <color auto="1"/>
      </top>
      <bottom/>
      <diagonal/>
    </border>
    <border>
      <left style="medium">
        <color rgb="FF808080"/>
      </left>
      <right style="medium">
        <color rgb="FF808080"/>
      </right>
      <top/>
      <bottom/>
      <diagonal/>
    </border>
    <border>
      <left style="medium">
        <color auto="1"/>
      </left>
      <right style="medium">
        <color rgb="FF808080"/>
      </right>
      <top/>
      <bottom style="medium">
        <color auto="1"/>
      </bottom>
      <diagonal/>
    </border>
    <border>
      <left style="medium">
        <color rgb="FF808080"/>
      </left>
      <right style="medium">
        <color rgb="FF808080"/>
      </right>
      <top/>
      <bottom style="medium">
        <color auto="1"/>
      </bottom>
      <diagonal/>
    </border>
    <border>
      <left style="medium">
        <color rgb="FF808080"/>
      </left>
      <right style="medium">
        <color rgb="FF808080"/>
      </right>
      <top/>
      <bottom style="thin">
        <color auto="1"/>
      </bottom>
      <diagonal/>
    </border>
    <border>
      <left style="medium">
        <color rgb="FF808080"/>
      </left>
      <right style="medium">
        <color rgb="FF808080"/>
      </right>
      <top style="thin">
        <color auto="1"/>
      </top>
      <bottom/>
      <diagonal/>
    </border>
    <border>
      <left/>
      <right style="medium">
        <color rgb="FF808080"/>
      </right>
      <top/>
      <bottom style="thin">
        <color auto="1"/>
      </bottom>
      <diagonal/>
    </border>
    <border>
      <left/>
      <right style="medium">
        <color rgb="FF808080"/>
      </right>
      <top/>
      <bottom/>
      <diagonal/>
    </border>
    <border>
      <left style="medium">
        <color auto="1"/>
      </left>
      <right style="medium">
        <color rgb="FF808080"/>
      </right>
      <top style="thin">
        <color auto="1"/>
      </top>
      <bottom/>
      <diagonal/>
    </border>
    <border>
      <left style="medium">
        <color rgb="FF808080"/>
      </left>
      <right style="medium">
        <color rgb="FF808080"/>
      </right>
      <top/>
      <bottom style="double">
        <color auto="1"/>
      </bottom>
      <diagonal/>
    </border>
    <border>
      <left/>
      <right style="medium">
        <color rgb="FF808080"/>
      </right>
      <top/>
      <bottom style="double">
        <color auto="1"/>
      </bottom>
      <diagonal/>
    </border>
    <border>
      <left/>
      <right style="medium">
        <color auto="1"/>
      </right>
      <top/>
      <bottom style="double">
        <color auto="1"/>
      </bottom>
      <diagonal/>
    </border>
    <border>
      <left style="thin">
        <color auto="1"/>
      </left>
      <right style="medium">
        <color rgb="FF808080"/>
      </right>
      <top/>
      <bottom style="medium">
        <color auto="1"/>
      </bottom>
      <diagonal/>
    </border>
    <border>
      <left style="thin">
        <color auto="1"/>
      </left>
      <right style="medium">
        <color auto="1"/>
      </right>
      <top style="double">
        <color auto="1"/>
      </top>
      <bottom style="thin">
        <color auto="1"/>
      </bottom>
      <diagonal/>
    </border>
    <border>
      <left style="medium">
        <color auto="1"/>
      </left>
      <right/>
      <top style="medium">
        <color auto="1"/>
      </top>
      <bottom style="medium">
        <color auto="1"/>
      </bottom>
      <diagonal/>
    </border>
    <border>
      <left style="thin">
        <color auto="1"/>
      </left>
      <right style="thin">
        <color auto="1"/>
      </right>
      <top/>
      <bottom style="double">
        <color auto="1"/>
      </bottom>
      <diagonal/>
    </border>
    <border>
      <left style="medium">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style="medium">
        <color auto="1"/>
      </right>
      <top/>
      <bottom style="double">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double">
        <color auto="1"/>
      </bottom>
      <diagonal/>
    </border>
    <border>
      <left/>
      <right/>
      <top/>
      <bottom style="double">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s>
  <cellStyleXfs count="12">
    <xf numFmtId="0" fontId="0" fillId="0" borderId="0"/>
    <xf numFmtId="165" fontId="1" fillId="0" borderId="0" applyBorder="0" applyProtection="0"/>
    <xf numFmtId="179" fontId="1" fillId="0" borderId="0" applyBorder="0" applyProtection="0"/>
    <xf numFmtId="0" fontId="13" fillId="0" borderId="0" applyBorder="0" applyProtection="0"/>
    <xf numFmtId="0" fontId="2" fillId="0" borderId="0" applyBorder="0" applyProtection="0"/>
    <xf numFmtId="164" fontId="2" fillId="0" borderId="0" applyBorder="0" applyProtection="0"/>
    <xf numFmtId="0" fontId="3" fillId="0" borderId="0" applyBorder="0" applyProtection="0">
      <alignment horizontal="center"/>
    </xf>
    <xf numFmtId="0" fontId="3" fillId="0" borderId="0" applyBorder="0" applyProtection="0">
      <alignment horizontal="center" textRotation="90"/>
    </xf>
    <xf numFmtId="165" fontId="1" fillId="0" borderId="0" applyBorder="0" applyProtection="0"/>
    <xf numFmtId="0" fontId="4" fillId="0" borderId="0" applyBorder="0" applyProtection="0"/>
    <xf numFmtId="0" fontId="4" fillId="0" borderId="0" applyBorder="0" applyProtection="0"/>
    <xf numFmtId="0" fontId="46" fillId="0" borderId="0" applyBorder="0" applyProtection="0"/>
  </cellStyleXfs>
  <cellXfs count="2007">
    <xf numFmtId="0" fontId="0" fillId="0" borderId="0" xfId="0"/>
    <xf numFmtId="0" fontId="0" fillId="0" borderId="0" xfId="0" applyAlignment="1">
      <alignment horizontal="center" vertical="center"/>
    </xf>
    <xf numFmtId="166" fontId="0" fillId="0" borderId="0" xfId="0" applyNumberFormat="1"/>
    <xf numFmtId="0" fontId="0" fillId="0" borderId="0" xfId="0" applyAlignment="1">
      <alignment wrapText="1"/>
    </xf>
    <xf numFmtId="0" fontId="18" fillId="4" borderId="3" xfId="0" applyFont="1" applyFill="1" applyBorder="1" applyAlignment="1">
      <alignment vertical="center"/>
    </xf>
    <xf numFmtId="0" fontId="18" fillId="4" borderId="0" xfId="0" applyFont="1" applyFill="1" applyBorder="1" applyAlignment="1">
      <alignment vertical="center"/>
    </xf>
    <xf numFmtId="0" fontId="22" fillId="4" borderId="3" xfId="0" applyFont="1" applyFill="1" applyBorder="1" applyAlignment="1">
      <alignment vertical="center" wrapText="1"/>
    </xf>
    <xf numFmtId="0" fontId="22" fillId="4" borderId="0" xfId="0" applyFont="1" applyFill="1" applyBorder="1" applyAlignment="1">
      <alignment vertical="center" wrapText="1"/>
    </xf>
    <xf numFmtId="167" fontId="0" fillId="0" borderId="0" xfId="0" applyNumberFormat="1"/>
    <xf numFmtId="0" fontId="0" fillId="4" borderId="0" xfId="0" applyFont="1" applyFill="1" applyBorder="1" applyAlignment="1">
      <alignment wrapText="1"/>
    </xf>
    <xf numFmtId="0" fontId="0" fillId="4" borderId="0" xfId="0" applyFont="1" applyFill="1" applyBorder="1" applyAlignment="1">
      <alignment horizontal="center" vertical="center"/>
    </xf>
    <xf numFmtId="168" fontId="0" fillId="4" borderId="0" xfId="0" applyNumberFormat="1" applyFont="1" applyFill="1" applyBorder="1" applyAlignment="1">
      <alignment horizontal="center" vertical="center"/>
    </xf>
    <xf numFmtId="168" fontId="0" fillId="4" borderId="0" xfId="0" applyNumberFormat="1" applyFont="1" applyFill="1" applyBorder="1" applyAlignment="1">
      <alignment vertical="center"/>
    </xf>
    <xf numFmtId="168" fontId="23" fillId="4" borderId="0" xfId="0" applyNumberFormat="1" applyFont="1" applyFill="1" applyBorder="1" applyAlignment="1">
      <alignment horizontal="center" vertical="center" wrapText="1"/>
    </xf>
    <xf numFmtId="0" fontId="24" fillId="0" borderId="0" xfId="0" applyFont="1" applyBorder="1"/>
    <xf numFmtId="0" fontId="0" fillId="0" borderId="6"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4" borderId="0" xfId="0" applyFont="1" applyFill="1" applyBorder="1"/>
    <xf numFmtId="168" fontId="0" fillId="4" borderId="0" xfId="0" applyNumberFormat="1" applyFont="1" applyFill="1" applyBorder="1" applyAlignment="1">
      <alignment horizontal="center" vertical="center" wrapText="1"/>
    </xf>
    <xf numFmtId="0" fontId="0" fillId="0" borderId="0" xfId="0" applyFont="1" applyBorder="1"/>
    <xf numFmtId="0" fontId="0" fillId="0" borderId="0" xfId="0" applyFont="1" applyBorder="1" applyAlignment="1">
      <alignment vertical="center"/>
    </xf>
    <xf numFmtId="0" fontId="0" fillId="0" borderId="6" xfId="0" applyFont="1" applyBorder="1" applyAlignment="1">
      <alignment vertical="center"/>
    </xf>
    <xf numFmtId="0" fontId="0" fillId="4" borderId="8" xfId="0" applyFont="1" applyFill="1" applyBorder="1"/>
    <xf numFmtId="0" fontId="0" fillId="0" borderId="9" xfId="0" applyFont="1" applyBorder="1" applyAlignment="1">
      <alignment horizontal="left" vertical="center"/>
    </xf>
    <xf numFmtId="0" fontId="25" fillId="0" borderId="9"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26" fillId="4" borderId="3" xfId="0" applyFont="1" applyFill="1" applyBorder="1" applyAlignment="1">
      <alignment vertical="center" wrapText="1"/>
    </xf>
    <xf numFmtId="0" fontId="26" fillId="4" borderId="0" xfId="0" applyFont="1" applyFill="1" applyBorder="1" applyAlignment="1">
      <alignment vertical="center" wrapText="1"/>
    </xf>
    <xf numFmtId="1" fontId="26" fillId="4" borderId="3" xfId="0" applyNumberFormat="1" applyFont="1" applyFill="1" applyBorder="1" applyAlignment="1">
      <alignment vertical="center" wrapText="1"/>
    </xf>
    <xf numFmtId="0" fontId="0" fillId="0" borderId="12" xfId="0" applyFont="1" applyBorder="1" applyAlignment="1">
      <alignment wrapText="1"/>
    </xf>
    <xf numFmtId="0" fontId="0" fillId="0" borderId="12" xfId="0" applyFont="1" applyBorder="1" applyAlignment="1">
      <alignment horizontal="center"/>
    </xf>
    <xf numFmtId="0" fontId="0" fillId="0" borderId="13" xfId="0" applyFont="1" applyBorder="1"/>
    <xf numFmtId="0" fontId="0" fillId="0" borderId="13" xfId="0" applyFont="1" applyBorder="1" applyAlignment="1">
      <alignment wrapText="1"/>
    </xf>
    <xf numFmtId="0" fontId="0" fillId="0" borderId="14" xfId="0" applyFont="1" applyBorder="1" applyAlignment="1">
      <alignment wrapText="1"/>
    </xf>
    <xf numFmtId="0" fontId="0" fillId="0" borderId="3" xfId="0" applyFont="1" applyBorder="1" applyAlignment="1">
      <alignment wrapText="1"/>
    </xf>
    <xf numFmtId="0" fontId="0" fillId="0" borderId="3" xfId="0" applyFont="1" applyBorder="1" applyAlignment="1">
      <alignment horizontal="center" vertical="center"/>
    </xf>
    <xf numFmtId="1" fontId="31" fillId="0" borderId="5" xfId="0" applyNumberFormat="1" applyFont="1" applyBorder="1" applyAlignment="1">
      <alignment horizontal="center" vertical="center" wrapText="1"/>
    </xf>
    <xf numFmtId="0" fontId="0" fillId="0" borderId="5" xfId="0" applyFont="1" applyBorder="1" applyAlignment="1">
      <alignment horizontal="center"/>
    </xf>
    <xf numFmtId="0" fontId="28" fillId="0" borderId="16" xfId="0" applyFont="1" applyBorder="1" applyAlignment="1">
      <alignment horizontal="center" wrapText="1"/>
    </xf>
    <xf numFmtId="0" fontId="28" fillId="0" borderId="12" xfId="0" applyFont="1" applyBorder="1" applyAlignment="1">
      <alignment horizontal="center" wrapText="1"/>
    </xf>
    <xf numFmtId="0" fontId="0" fillId="4" borderId="3" xfId="0" applyFont="1" applyFill="1" applyBorder="1" applyAlignment="1">
      <alignment vertical="center"/>
    </xf>
    <xf numFmtId="0" fontId="0" fillId="4" borderId="0" xfId="0" applyFont="1" applyFill="1" applyBorder="1" applyAlignment="1">
      <alignment vertical="center"/>
    </xf>
    <xf numFmtId="0" fontId="34" fillId="0" borderId="5" xfId="0" applyFont="1" applyBorder="1"/>
    <xf numFmtId="0" fontId="0" fillId="0" borderId="5" xfId="0" applyFont="1" applyBorder="1"/>
    <xf numFmtId="14" fontId="35" fillId="6" borderId="17" xfId="0" applyNumberFormat="1" applyFont="1" applyFill="1" applyBorder="1" applyAlignment="1" applyProtection="1">
      <alignment horizontal="center"/>
      <protection locked="0"/>
    </xf>
    <xf numFmtId="171" fontId="0" fillId="6" borderId="5" xfId="0" applyNumberFormat="1" applyFill="1" applyBorder="1" applyAlignment="1" applyProtection="1">
      <alignment horizontal="center"/>
      <protection locked="0"/>
    </xf>
    <xf numFmtId="171" fontId="0" fillId="4" borderId="3" xfId="0" applyNumberFormat="1" applyFont="1" applyFill="1" applyBorder="1" applyAlignment="1" applyProtection="1">
      <alignment horizontal="center"/>
      <protection locked="0"/>
    </xf>
    <xf numFmtId="171" fontId="0" fillId="4" borderId="0" xfId="0" applyNumberFormat="1" applyFont="1" applyFill="1" applyBorder="1" applyAlignment="1" applyProtection="1">
      <alignment horizontal="center"/>
      <protection locked="0"/>
    </xf>
    <xf numFmtId="0" fontId="36" fillId="0" borderId="0" xfId="0" applyFont="1" applyAlignment="1" applyProtection="1">
      <alignment horizontal="center"/>
      <protection hidden="1"/>
    </xf>
    <xf numFmtId="0" fontId="36" fillId="4" borderId="3" xfId="0" applyFont="1" applyFill="1" applyBorder="1" applyAlignment="1" applyProtection="1">
      <alignment horizontal="center"/>
      <protection hidden="1"/>
    </xf>
    <xf numFmtId="0" fontId="36" fillId="4" borderId="0" xfId="0" applyFont="1" applyFill="1" applyBorder="1" applyAlignment="1" applyProtection="1">
      <alignment horizontal="center"/>
      <protection hidden="1"/>
    </xf>
    <xf numFmtId="0" fontId="34" fillId="0" borderId="5" xfId="0" applyFont="1" applyBorder="1" applyAlignment="1">
      <alignment horizontal="right"/>
    </xf>
    <xf numFmtId="0" fontId="0" fillId="0" borderId="10" xfId="0" applyBorder="1" applyAlignment="1">
      <alignment horizontal="center"/>
    </xf>
    <xf numFmtId="0" fontId="0" fillId="0" borderId="5" xfId="0" applyBorder="1" applyAlignment="1">
      <alignment horizontal="center"/>
    </xf>
    <xf numFmtId="0" fontId="0" fillId="4" borderId="3" xfId="0" applyFill="1" applyBorder="1" applyAlignment="1">
      <alignment horizontal="center"/>
    </xf>
    <xf numFmtId="0" fontId="0" fillId="4" borderId="0" xfId="0" applyFill="1" applyBorder="1" applyAlignment="1">
      <alignment horizontal="center"/>
    </xf>
    <xf numFmtId="172" fontId="34" fillId="0" borderId="5" xfId="0" applyNumberFormat="1" applyFont="1" applyBorder="1"/>
    <xf numFmtId="172" fontId="34" fillId="4" borderId="5" xfId="0" applyNumberFormat="1" applyFont="1" applyFill="1" applyBorder="1" applyProtection="1">
      <protection hidden="1"/>
    </xf>
    <xf numFmtId="172" fontId="34" fillId="4" borderId="3" xfId="0" applyNumberFormat="1" applyFont="1" applyFill="1" applyBorder="1" applyProtection="1">
      <protection hidden="1"/>
    </xf>
    <xf numFmtId="172" fontId="34" fillId="4" borderId="0" xfId="0" applyNumberFormat="1" applyFont="1" applyFill="1" applyBorder="1" applyProtection="1">
      <protection hidden="1"/>
    </xf>
    <xf numFmtId="0" fontId="0" fillId="0" borderId="5" xfId="0" applyFont="1" applyBorder="1" applyAlignment="1">
      <alignment wrapText="1"/>
    </xf>
    <xf numFmtId="172" fontId="0" fillId="0" borderId="5" xfId="0" applyNumberFormat="1" applyFont="1" applyBorder="1" applyAlignment="1">
      <alignment vertical="center"/>
    </xf>
    <xf numFmtId="0" fontId="34" fillId="0" borderId="10" xfId="0" applyFont="1" applyBorder="1" applyAlignment="1">
      <alignment horizontal="center"/>
    </xf>
    <xf numFmtId="0" fontId="34" fillId="0" borderId="5" xfId="0" applyFont="1" applyBorder="1" applyAlignment="1">
      <alignment horizontal="center"/>
    </xf>
    <xf numFmtId="0" fontId="34" fillId="4" borderId="3" xfId="0" applyFont="1" applyFill="1" applyBorder="1" applyAlignment="1">
      <alignment horizontal="center"/>
    </xf>
    <xf numFmtId="0" fontId="34" fillId="4" borderId="0" xfId="0" applyFont="1" applyFill="1" applyBorder="1" applyAlignment="1">
      <alignment horizontal="center"/>
    </xf>
    <xf numFmtId="0" fontId="29" fillId="0" borderId="5" xfId="0" applyFont="1" applyBorder="1" applyAlignment="1">
      <alignment wrapText="1"/>
    </xf>
    <xf numFmtId="172" fontId="24" fillId="0" borderId="5" xfId="0" applyNumberFormat="1" applyFont="1" applyBorder="1" applyAlignment="1">
      <alignment vertical="center"/>
    </xf>
    <xf numFmtId="0" fontId="0" fillId="6" borderId="5" xfId="0" applyFont="1" applyFill="1" applyBorder="1" applyAlignment="1" applyProtection="1">
      <alignment horizontal="center" vertical="center"/>
      <protection locked="0"/>
    </xf>
    <xf numFmtId="0" fontId="37" fillId="0" borderId="10" xfId="0" applyFont="1" applyBorder="1" applyAlignment="1">
      <alignment horizontal="center"/>
    </xf>
    <xf numFmtId="0" fontId="37" fillId="0" borderId="5" xfId="0" applyFont="1" applyBorder="1" applyAlignment="1">
      <alignment horizontal="center"/>
    </xf>
    <xf numFmtId="172" fontId="0" fillId="6" borderId="5" xfId="0" applyNumberFormat="1" applyFont="1" applyFill="1" applyBorder="1" applyAlignment="1" applyProtection="1">
      <alignment horizontal="center"/>
      <protection locked="0"/>
    </xf>
    <xf numFmtId="172" fontId="34" fillId="4" borderId="5" xfId="0" applyNumberFormat="1" applyFont="1" applyFill="1" applyBorder="1"/>
    <xf numFmtId="172" fontId="34" fillId="4" borderId="10" xfId="0" applyNumberFormat="1" applyFont="1" applyFill="1" applyBorder="1" applyAlignment="1" applyProtection="1">
      <alignment vertical="center"/>
      <protection hidden="1"/>
    </xf>
    <xf numFmtId="172" fontId="25" fillId="4" borderId="10" xfId="0" applyNumberFormat="1" applyFont="1" applyFill="1" applyBorder="1" applyAlignment="1" applyProtection="1">
      <alignment vertical="center"/>
      <protection hidden="1"/>
    </xf>
    <xf numFmtId="0" fontId="34" fillId="0" borderId="10" xfId="0" applyFont="1" applyBorder="1" applyAlignment="1" applyProtection="1">
      <alignment horizontal="center"/>
      <protection hidden="1"/>
    </xf>
    <xf numFmtId="0" fontId="34" fillId="0" borderId="5" xfId="0" applyFont="1" applyBorder="1" applyAlignment="1" applyProtection="1">
      <alignment horizontal="center"/>
      <protection hidden="1"/>
    </xf>
    <xf numFmtId="0" fontId="34" fillId="4" borderId="3" xfId="0" applyFont="1" applyFill="1" applyBorder="1" applyAlignment="1" applyProtection="1">
      <alignment horizontal="center"/>
      <protection hidden="1"/>
    </xf>
    <xf numFmtId="0" fontId="34" fillId="4" borderId="0" xfId="0" applyFont="1" applyFill="1" applyBorder="1" applyAlignment="1" applyProtection="1">
      <alignment horizontal="center"/>
      <protection hidden="1"/>
    </xf>
    <xf numFmtId="0" fontId="0" fillId="7" borderId="5" xfId="0" applyFont="1" applyFill="1" applyBorder="1"/>
    <xf numFmtId="172" fontId="0" fillId="7" borderId="5" xfId="0" applyNumberFormat="1" applyFont="1" applyFill="1" applyBorder="1"/>
    <xf numFmtId="172" fontId="0" fillId="7" borderId="5" xfId="0" applyNumberFormat="1" applyFont="1" applyFill="1" applyBorder="1" applyAlignment="1" applyProtection="1">
      <alignment horizontal="center"/>
      <protection hidden="1"/>
    </xf>
    <xf numFmtId="172" fontId="0" fillId="4" borderId="3" xfId="0" applyNumberFormat="1" applyFont="1" applyFill="1" applyBorder="1" applyAlignment="1" applyProtection="1">
      <alignment horizontal="center"/>
      <protection hidden="1"/>
    </xf>
    <xf numFmtId="172" fontId="0" fillId="4" borderId="0" xfId="0" applyNumberFormat="1" applyFont="1" applyFill="1" applyBorder="1" applyAlignment="1" applyProtection="1">
      <alignment horizontal="center"/>
      <protection hidden="1"/>
    </xf>
    <xf numFmtId="172" fontId="34" fillId="7" borderId="5" xfId="0" applyNumberFormat="1" applyFont="1" applyFill="1" applyBorder="1"/>
    <xf numFmtId="172" fontId="0" fillId="7" borderId="5" xfId="0" applyNumberFormat="1" applyFont="1" applyFill="1" applyBorder="1" applyProtection="1">
      <protection hidden="1"/>
    </xf>
    <xf numFmtId="172" fontId="0" fillId="4" borderId="3" xfId="0" applyNumberFormat="1" applyFont="1" applyFill="1" applyBorder="1" applyProtection="1">
      <protection hidden="1"/>
    </xf>
    <xf numFmtId="172" fontId="0" fillId="4" borderId="0" xfId="0" applyNumberFormat="1" applyFont="1" applyFill="1" applyBorder="1" applyProtection="1">
      <protection hidden="1"/>
    </xf>
    <xf numFmtId="172" fontId="0" fillId="4" borderId="5" xfId="0" applyNumberFormat="1" applyFont="1" applyFill="1" applyBorder="1" applyProtection="1">
      <protection hidden="1"/>
    </xf>
    <xf numFmtId="0" fontId="0" fillId="4" borderId="3" xfId="0" applyFont="1" applyFill="1" applyBorder="1" applyAlignment="1" applyProtection="1">
      <alignment horizontal="center"/>
      <protection locked="0"/>
    </xf>
    <xf numFmtId="0" fontId="0" fillId="4" borderId="0" xfId="0" applyFont="1" applyFill="1" applyBorder="1" applyAlignment="1" applyProtection="1">
      <alignment horizontal="center"/>
      <protection locked="0"/>
    </xf>
    <xf numFmtId="173" fontId="0" fillId="6" borderId="5" xfId="0" applyNumberFormat="1" applyFont="1" applyFill="1" applyBorder="1" applyProtection="1">
      <protection locked="0"/>
    </xf>
    <xf numFmtId="173" fontId="0" fillId="4" borderId="3" xfId="0" applyNumberFormat="1" applyFont="1" applyFill="1" applyBorder="1" applyProtection="1">
      <protection locked="0"/>
    </xf>
    <xf numFmtId="173" fontId="0" fillId="4" borderId="0" xfId="0" applyNumberFormat="1" applyFont="1" applyFill="1" applyBorder="1" applyProtection="1">
      <protection locked="0"/>
    </xf>
    <xf numFmtId="172" fontId="0" fillId="0" borderId="5" xfId="0" applyNumberFormat="1" applyFont="1" applyBorder="1" applyProtection="1">
      <protection hidden="1"/>
    </xf>
    <xf numFmtId="0" fontId="29" fillId="0" borderId="5" xfId="0" applyFont="1" applyBorder="1"/>
    <xf numFmtId="172" fontId="0" fillId="6" borderId="5" xfId="0" applyNumberFormat="1" applyFont="1" applyFill="1" applyBorder="1" applyProtection="1">
      <protection locked="0"/>
    </xf>
    <xf numFmtId="172" fontId="0" fillId="4" borderId="3" xfId="0" applyNumberFormat="1" applyFont="1" applyFill="1" applyBorder="1" applyProtection="1">
      <protection locked="0"/>
    </xf>
    <xf numFmtId="172" fontId="0" fillId="4" borderId="0" xfId="0" applyNumberFormat="1" applyFont="1" applyFill="1" applyBorder="1" applyProtection="1">
      <protection locked="0"/>
    </xf>
    <xf numFmtId="172" fontId="34" fillId="0" borderId="5" xfId="0" applyNumberFormat="1" applyFont="1" applyBorder="1" applyProtection="1">
      <protection hidden="1"/>
    </xf>
    <xf numFmtId="0" fontId="35" fillId="0" borderId="18" xfId="0" applyFont="1" applyBorder="1"/>
    <xf numFmtId="0" fontId="38" fillId="0" borderId="13" xfId="0" applyFont="1" applyBorder="1" applyAlignment="1">
      <alignment wrapText="1"/>
    </xf>
    <xf numFmtId="0" fontId="38" fillId="4" borderId="3" xfId="0" applyFont="1" applyFill="1" applyBorder="1" applyAlignment="1">
      <alignment wrapText="1"/>
    </xf>
    <xf numFmtId="0" fontId="38" fillId="4" borderId="0" xfId="0" applyFont="1" applyFill="1" applyBorder="1" applyAlignment="1">
      <alignment wrapText="1"/>
    </xf>
    <xf numFmtId="0" fontId="40" fillId="0" borderId="10" xfId="0" applyFont="1" applyBorder="1" applyAlignment="1">
      <alignment vertical="center" wrapText="1"/>
    </xf>
    <xf numFmtId="0" fontId="40" fillId="0" borderId="4" xfId="0" applyFont="1" applyBorder="1" applyAlignment="1">
      <alignment vertical="center" wrapText="1"/>
    </xf>
    <xf numFmtId="0" fontId="40" fillId="0" borderId="16" xfId="0" applyFont="1" applyBorder="1" applyAlignment="1">
      <alignment vertical="center" wrapText="1"/>
    </xf>
    <xf numFmtId="0" fontId="40" fillId="4" borderId="3" xfId="0" applyFont="1" applyFill="1" applyBorder="1" applyAlignment="1">
      <alignment vertical="center" wrapText="1"/>
    </xf>
    <xf numFmtId="0" fontId="40" fillId="4" borderId="0" xfId="0" applyFont="1" applyFill="1" applyBorder="1" applyAlignment="1">
      <alignment vertical="center" wrapText="1"/>
    </xf>
    <xf numFmtId="168" fontId="0" fillId="7" borderId="5" xfId="0" applyNumberFormat="1" applyFont="1" applyFill="1" applyBorder="1"/>
    <xf numFmtId="168" fontId="0" fillId="4" borderId="3" xfId="0" applyNumberFormat="1" applyFont="1" applyFill="1" applyBorder="1"/>
    <xf numFmtId="168" fontId="0" fillId="4" borderId="0" xfId="0" applyNumberFormat="1" applyFont="1" applyFill="1" applyBorder="1"/>
    <xf numFmtId="0" fontId="35" fillId="4" borderId="18" xfId="0" applyFont="1" applyFill="1" applyBorder="1" applyProtection="1"/>
    <xf numFmtId="168" fontId="0" fillId="0" borderId="5" xfId="0" applyNumberFormat="1" applyFont="1" applyBorder="1"/>
    <xf numFmtId="0" fontId="0" fillId="8" borderId="0" xfId="0" applyFont="1" applyFill="1" applyAlignment="1">
      <alignment horizontal="center" wrapText="1"/>
    </xf>
    <xf numFmtId="168" fontId="25" fillId="0" borderId="5" xfId="0" applyNumberFormat="1" applyFont="1" applyBorder="1"/>
    <xf numFmtId="0" fontId="0" fillId="0" borderId="5" xfId="0" applyFont="1" applyBorder="1"/>
    <xf numFmtId="0" fontId="31" fillId="6" borderId="5" xfId="0" applyFont="1" applyFill="1" applyBorder="1" applyAlignment="1" applyProtection="1">
      <alignment horizontal="center"/>
      <protection locked="0"/>
    </xf>
    <xf numFmtId="172" fontId="0" fillId="6" borderId="5" xfId="0" applyNumberFormat="1" applyFill="1" applyBorder="1" applyProtection="1">
      <protection locked="0"/>
    </xf>
    <xf numFmtId="172" fontId="0" fillId="7" borderId="5" xfId="0" applyNumberFormat="1" applyFill="1" applyBorder="1" applyProtection="1">
      <protection locked="0"/>
    </xf>
    <xf numFmtId="168" fontId="0" fillId="7" borderId="5" xfId="0" applyNumberFormat="1" applyFont="1" applyFill="1" applyBorder="1" applyProtection="1">
      <protection hidden="1"/>
    </xf>
    <xf numFmtId="168" fontId="0" fillId="4" borderId="3" xfId="0" applyNumberFormat="1" applyFont="1" applyFill="1" applyBorder="1" applyProtection="1">
      <protection hidden="1"/>
    </xf>
    <xf numFmtId="168" fontId="0" fillId="4" borderId="0" xfId="0" applyNumberFormat="1" applyFont="1" applyFill="1" applyBorder="1" applyProtection="1">
      <protection hidden="1"/>
    </xf>
    <xf numFmtId="172" fontId="0" fillId="7" borderId="5" xfId="0" applyNumberFormat="1" applyFont="1" applyFill="1" applyBorder="1" applyProtection="1">
      <protection locked="0"/>
    </xf>
    <xf numFmtId="172" fontId="0" fillId="4" borderId="3" xfId="0" applyNumberFormat="1" applyFont="1" applyFill="1" applyBorder="1"/>
    <xf numFmtId="172" fontId="0" fillId="4" borderId="0" xfId="0" applyNumberFormat="1" applyFont="1" applyFill="1" applyBorder="1"/>
    <xf numFmtId="0" fontId="0" fillId="0" borderId="11" xfId="0" applyFont="1" applyBorder="1" applyAlignment="1">
      <alignment wrapText="1"/>
    </xf>
    <xf numFmtId="0" fontId="0" fillId="0" borderId="11" xfId="0" applyFont="1" applyBorder="1"/>
    <xf numFmtId="0" fontId="31" fillId="0" borderId="20" xfId="0" applyFont="1" applyBorder="1" applyAlignment="1">
      <alignment vertical="center" wrapText="1"/>
    </xf>
    <xf numFmtId="0" fontId="41" fillId="0" borderId="20" xfId="0" applyFont="1" applyBorder="1" applyAlignment="1">
      <alignment horizontal="center" vertical="center" wrapText="1"/>
    </xf>
    <xf numFmtId="2" fontId="34" fillId="0" borderId="20" xfId="0" applyNumberFormat="1" applyFont="1" applyBorder="1" applyAlignment="1" applyProtection="1">
      <alignment horizontal="center" vertical="center" wrapText="1"/>
      <protection locked="0"/>
    </xf>
    <xf numFmtId="0" fontId="31" fillId="0" borderId="5" xfId="0" applyFont="1" applyBorder="1"/>
    <xf numFmtId="174" fontId="0" fillId="6" borderId="5" xfId="0" applyNumberFormat="1" applyFont="1" applyFill="1" applyBorder="1" applyProtection="1">
      <protection locked="0"/>
    </xf>
    <xf numFmtId="168" fontId="42" fillId="0" borderId="4" xfId="3" applyNumberFormat="1" applyFont="1" applyBorder="1" applyAlignment="1" applyProtection="1"/>
    <xf numFmtId="168" fontId="42" fillId="0" borderId="16" xfId="3" applyNumberFormat="1" applyFont="1" applyBorder="1" applyAlignment="1" applyProtection="1"/>
    <xf numFmtId="172" fontId="0" fillId="0" borderId="5" xfId="0" applyNumberFormat="1" applyFont="1" applyBorder="1"/>
    <xf numFmtId="0" fontId="0" fillId="0" borderId="4" xfId="0" applyFont="1" applyBorder="1" applyAlignment="1">
      <alignment wrapText="1"/>
    </xf>
    <xf numFmtId="0" fontId="0" fillId="0" borderId="16" xfId="0" applyFont="1" applyBorder="1" applyAlignment="1">
      <alignment wrapText="1"/>
    </xf>
    <xf numFmtId="0" fontId="0" fillId="4" borderId="3" xfId="0" applyFont="1" applyFill="1" applyBorder="1" applyAlignment="1">
      <alignment wrapText="1"/>
    </xf>
    <xf numFmtId="0" fontId="0" fillId="0" borderId="10" xfId="0" applyFont="1" applyBorder="1" applyAlignment="1">
      <alignment horizontal="center" vertical="center"/>
    </xf>
    <xf numFmtId="0" fontId="0" fillId="4" borderId="3" xfId="0" applyFont="1" applyFill="1" applyBorder="1" applyAlignment="1">
      <alignment horizontal="center" vertical="center"/>
    </xf>
    <xf numFmtId="0" fontId="43" fillId="0" borderId="5" xfId="0" applyFont="1" applyBorder="1"/>
    <xf numFmtId="172" fontId="39" fillId="0" borderId="5" xfId="0" applyNumberFormat="1" applyFont="1" applyBorder="1"/>
    <xf numFmtId="172" fontId="0" fillId="2" borderId="5" xfId="0" applyNumberFormat="1" applyFill="1" applyBorder="1" applyProtection="1">
      <protection locked="0"/>
    </xf>
    <xf numFmtId="172" fontId="0" fillId="2" borderId="5" xfId="0" applyNumberFormat="1" applyFont="1" applyFill="1" applyBorder="1" applyProtection="1">
      <protection locked="0"/>
    </xf>
    <xf numFmtId="0" fontId="44" fillId="0" borderId="5" xfId="0" applyFont="1" applyBorder="1" applyProtection="1"/>
    <xf numFmtId="0" fontId="34" fillId="0" borderId="5" xfId="0" applyFont="1" applyBorder="1" applyProtection="1"/>
    <xf numFmtId="173" fontId="45" fillId="0" borderId="5" xfId="0" applyNumberFormat="1" applyFont="1" applyBorder="1" applyAlignment="1" applyProtection="1">
      <alignment horizontal="center"/>
    </xf>
    <xf numFmtId="173" fontId="45" fillId="4" borderId="3" xfId="0" applyNumberFormat="1" applyFont="1" applyFill="1" applyBorder="1" applyAlignment="1" applyProtection="1">
      <alignment horizontal="center"/>
    </xf>
    <xf numFmtId="173" fontId="45" fillId="4" borderId="0" xfId="0" applyNumberFormat="1" applyFont="1" applyFill="1" applyBorder="1" applyAlignment="1" applyProtection="1">
      <alignment horizontal="center"/>
    </xf>
    <xf numFmtId="175" fontId="24" fillId="0" borderId="5" xfId="1" applyNumberFormat="1" applyFont="1" applyBorder="1" applyAlignment="1" applyProtection="1">
      <alignment horizontal="center"/>
    </xf>
    <xf numFmtId="172" fontId="39" fillId="4" borderId="3" xfId="0" applyNumberFormat="1" applyFont="1" applyFill="1" applyBorder="1"/>
    <xf numFmtId="172" fontId="39" fillId="4" borderId="0" xfId="0" applyNumberFormat="1" applyFont="1" applyFill="1" applyBorder="1"/>
    <xf numFmtId="172" fontId="39" fillId="2" borderId="5" xfId="0" applyNumberFormat="1" applyFont="1" applyFill="1" applyBorder="1" applyProtection="1">
      <protection locked="0"/>
    </xf>
    <xf numFmtId="0" fontId="25" fillId="0" borderId="5" xfId="0" applyFont="1" applyBorder="1"/>
    <xf numFmtId="172" fontId="39" fillId="4" borderId="3" xfId="0" applyNumberFormat="1" applyFont="1" applyFill="1" applyBorder="1" applyProtection="1">
      <protection locked="0"/>
    </xf>
    <xf numFmtId="172" fontId="39" fillId="4" borderId="0" xfId="0" applyNumberFormat="1" applyFont="1" applyFill="1" applyBorder="1" applyProtection="1">
      <protection locked="0"/>
    </xf>
    <xf numFmtId="0" fontId="0" fillId="0" borderId="16" xfId="0" applyFont="1" applyBorder="1"/>
    <xf numFmtId="172" fontId="39" fillId="2" borderId="5" xfId="0" applyNumberFormat="1" applyFont="1" applyFill="1" applyBorder="1" applyAlignment="1" applyProtection="1">
      <alignment horizontal="center"/>
      <protection locked="0"/>
    </xf>
    <xf numFmtId="172" fontId="39" fillId="2" borderId="5" xfId="0" applyNumberFormat="1" applyFont="1" applyFill="1" applyBorder="1" applyAlignment="1" applyProtection="1">
      <alignment horizontal="right"/>
      <protection locked="0"/>
    </xf>
    <xf numFmtId="0" fontId="35" fillId="0" borderId="21" xfId="0" applyFont="1" applyBorder="1" applyProtection="1"/>
    <xf numFmtId="172" fontId="39" fillId="0" borderId="5" xfId="0" applyNumberFormat="1" applyFont="1" applyBorder="1" applyAlignment="1" applyProtection="1">
      <alignment horizontal="center"/>
    </xf>
    <xf numFmtId="0" fontId="35" fillId="4" borderId="18" xfId="11" applyFont="1" applyFill="1" applyBorder="1" applyAlignment="1" applyProtection="1"/>
    <xf numFmtId="176" fontId="39" fillId="6" borderId="5" xfId="0" applyNumberFormat="1" applyFont="1" applyFill="1" applyBorder="1" applyAlignment="1" applyProtection="1">
      <alignment horizontal="center"/>
      <protection locked="0"/>
    </xf>
    <xf numFmtId="176" fontId="39" fillId="4" borderId="3" xfId="0" applyNumberFormat="1" applyFont="1" applyFill="1" applyBorder="1" applyAlignment="1" applyProtection="1">
      <alignment horizontal="center"/>
      <protection locked="0"/>
    </xf>
    <xf numFmtId="176" fontId="39" fillId="4" borderId="0" xfId="0" applyNumberFormat="1" applyFont="1" applyFill="1" applyBorder="1" applyAlignment="1" applyProtection="1">
      <alignment horizontal="center"/>
      <protection locked="0"/>
    </xf>
    <xf numFmtId="0" fontId="35" fillId="4" borderId="18" xfId="11" applyFont="1" applyFill="1" applyBorder="1" applyAlignment="1" applyProtection="1">
      <alignment horizontal="left" wrapText="1" readingOrder="1"/>
    </xf>
    <xf numFmtId="176" fontId="39" fillId="6" borderId="5" xfId="0" applyNumberFormat="1" applyFont="1" applyFill="1" applyBorder="1" applyAlignment="1" applyProtection="1">
      <alignment horizontal="center" vertical="center"/>
      <protection locked="0"/>
    </xf>
    <xf numFmtId="0" fontId="47" fillId="4" borderId="21" xfId="0" applyFont="1" applyFill="1" applyBorder="1"/>
    <xf numFmtId="177" fontId="39" fillId="6" borderId="5" xfId="0" applyNumberFormat="1" applyFont="1" applyFill="1" applyBorder="1" applyProtection="1">
      <protection locked="0"/>
    </xf>
    <xf numFmtId="177" fontId="39" fillId="4" borderId="3" xfId="0" applyNumberFormat="1" applyFont="1" applyFill="1" applyBorder="1" applyProtection="1">
      <protection locked="0"/>
    </xf>
    <xf numFmtId="177" fontId="39" fillId="4" borderId="0" xfId="0" applyNumberFormat="1" applyFont="1" applyFill="1" applyBorder="1" applyProtection="1">
      <protection locked="0"/>
    </xf>
    <xf numFmtId="0" fontId="0" fillId="0" borderId="5" xfId="0" applyFont="1" applyBorder="1" applyAlignment="1">
      <alignment vertical="center"/>
    </xf>
    <xf numFmtId="172" fontId="39" fillId="0" borderId="5" xfId="0" applyNumberFormat="1" applyFont="1" applyBorder="1" applyAlignment="1">
      <alignment vertical="center"/>
    </xf>
    <xf numFmtId="172" fontId="39" fillId="2" borderId="5" xfId="0" applyNumberFormat="1" applyFont="1" applyFill="1" applyBorder="1" applyAlignment="1" applyProtection="1">
      <alignment vertical="center"/>
      <protection locked="0"/>
    </xf>
    <xf numFmtId="172" fontId="39" fillId="4" borderId="3" xfId="0" applyNumberFormat="1" applyFont="1" applyFill="1" applyBorder="1" applyAlignment="1" applyProtection="1">
      <alignment vertical="center"/>
      <protection locked="0"/>
    </xf>
    <xf numFmtId="172" fontId="39" fillId="4" borderId="0" xfId="0" applyNumberFormat="1" applyFont="1" applyFill="1" applyBorder="1" applyAlignment="1" applyProtection="1">
      <alignment vertical="center"/>
      <protection locked="0"/>
    </xf>
    <xf numFmtId="172" fontId="39" fillId="6" borderId="5" xfId="0" applyNumberFormat="1" applyFont="1" applyFill="1" applyBorder="1" applyProtection="1">
      <protection locked="0"/>
    </xf>
    <xf numFmtId="0" fontId="25" fillId="0" borderId="5" xfId="0" applyFont="1" applyBorder="1" applyAlignment="1">
      <alignment wrapText="1"/>
    </xf>
    <xf numFmtId="172" fontId="39" fillId="0" borderId="5" xfId="0" applyNumberFormat="1" applyFont="1" applyBorder="1" applyProtection="1"/>
    <xf numFmtId="0" fontId="34" fillId="0" borderId="5" xfId="0" applyFont="1" applyBorder="1" applyAlignment="1">
      <alignment vertical="center"/>
    </xf>
    <xf numFmtId="172" fontId="24" fillId="4" borderId="5" xfId="0" applyNumberFormat="1" applyFont="1" applyFill="1" applyBorder="1" applyProtection="1">
      <protection locked="0"/>
    </xf>
    <xf numFmtId="0" fontId="7" fillId="0" borderId="5" xfId="0" applyFont="1" applyBorder="1"/>
    <xf numFmtId="172" fontId="39" fillId="4" borderId="5" xfId="0" applyNumberFormat="1" applyFont="1" applyFill="1" applyBorder="1" applyProtection="1"/>
    <xf numFmtId="0" fontId="0" fillId="0" borderId="5" xfId="0" applyFont="1" applyBorder="1" applyProtection="1"/>
    <xf numFmtId="172" fontId="39" fillId="0" borderId="5" xfId="0" applyNumberFormat="1" applyFont="1" applyBorder="1" applyProtection="1"/>
    <xf numFmtId="172" fontId="0" fillId="0" borderId="5" xfId="0" applyNumberFormat="1" applyFont="1" applyBorder="1" applyProtection="1"/>
    <xf numFmtId="172" fontId="0" fillId="4" borderId="3" xfId="0" applyNumberFormat="1" applyFont="1" applyFill="1" applyBorder="1" applyProtection="1"/>
    <xf numFmtId="172" fontId="0" fillId="4" borderId="0" xfId="0" applyNumberFormat="1" applyFont="1" applyFill="1" applyBorder="1" applyProtection="1"/>
    <xf numFmtId="0" fontId="0" fillId="0" borderId="22" xfId="0" applyFont="1" applyBorder="1"/>
    <xf numFmtId="172" fontId="39" fillId="0" borderId="22" xfId="0" applyNumberFormat="1" applyFont="1" applyBorder="1"/>
    <xf numFmtId="172" fontId="0" fillId="6" borderId="22" xfId="0" applyNumberFormat="1" applyFont="1" applyFill="1" applyBorder="1" applyProtection="1">
      <protection locked="0"/>
    </xf>
    <xf numFmtId="0" fontId="31" fillId="0" borderId="23" xfId="0" applyFont="1" applyBorder="1"/>
    <xf numFmtId="0" fontId="0" fillId="0" borderId="24" xfId="0" applyFont="1" applyBorder="1"/>
    <xf numFmtId="172" fontId="39" fillId="0" borderId="24" xfId="0" applyNumberFormat="1" applyFont="1" applyBorder="1"/>
    <xf numFmtId="172" fontId="0" fillId="6" borderId="24" xfId="0" applyNumberFormat="1" applyFont="1" applyFill="1" applyBorder="1" applyProtection="1">
      <protection locked="0"/>
    </xf>
    <xf numFmtId="172" fontId="0" fillId="6" borderId="25" xfId="0" applyNumberFormat="1" applyFont="1" applyFill="1" applyBorder="1" applyProtection="1">
      <protection locked="0"/>
    </xf>
    <xf numFmtId="0" fontId="0" fillId="0" borderId="18" xfId="0" applyFont="1" applyBorder="1"/>
    <xf numFmtId="172" fontId="0" fillId="6" borderId="26" xfId="0" applyNumberFormat="1" applyFont="1" applyFill="1" applyBorder="1" applyProtection="1">
      <protection locked="0"/>
    </xf>
    <xf numFmtId="172" fontId="0" fillId="4" borderId="5" xfId="0" applyNumberFormat="1" applyFont="1" applyFill="1" applyBorder="1" applyProtection="1"/>
    <xf numFmtId="172" fontId="0" fillId="4" borderId="26" xfId="0" applyNumberFormat="1" applyFont="1" applyFill="1" applyBorder="1" applyProtection="1"/>
    <xf numFmtId="0" fontId="0" fillId="0" borderId="21" xfId="0" applyFont="1" applyBorder="1"/>
    <xf numFmtId="0" fontId="0" fillId="0" borderId="27" xfId="0" applyFont="1" applyBorder="1"/>
    <xf numFmtId="172" fontId="39" fillId="0" borderId="27" xfId="0" applyNumberFormat="1" applyFont="1" applyBorder="1"/>
    <xf numFmtId="172" fontId="0" fillId="6" borderId="27" xfId="0" applyNumberFormat="1" applyFont="1" applyFill="1" applyBorder="1" applyProtection="1">
      <protection locked="0"/>
    </xf>
    <xf numFmtId="172" fontId="0" fillId="6" borderId="28" xfId="0" applyNumberFormat="1" applyFont="1" applyFill="1" applyBorder="1" applyProtection="1">
      <protection locked="0"/>
    </xf>
    <xf numFmtId="172" fontId="39" fillId="0" borderId="11" xfId="0" applyNumberFormat="1" applyFont="1" applyBorder="1"/>
    <xf numFmtId="172" fontId="0" fillId="2" borderId="11" xfId="0" applyNumberFormat="1" applyFont="1" applyFill="1" applyBorder="1" applyProtection="1">
      <protection locked="0"/>
    </xf>
    <xf numFmtId="172" fontId="0" fillId="0" borderId="5" xfId="0" applyNumberFormat="1" applyFont="1" applyBorder="1" applyProtection="1"/>
    <xf numFmtId="172" fontId="0" fillId="0" borderId="5" xfId="0" applyNumberFormat="1" applyFont="1" applyBorder="1" applyProtection="1">
      <protection locked="0"/>
    </xf>
    <xf numFmtId="0" fontId="25" fillId="0" borderId="5" xfId="0" applyFont="1" applyBorder="1" applyAlignment="1">
      <alignment horizontal="left"/>
    </xf>
    <xf numFmtId="0" fontId="51" fillId="0" borderId="5" xfId="0" applyFont="1" applyBorder="1"/>
    <xf numFmtId="0" fontId="35" fillId="0" borderId="18" xfId="0" applyFont="1" applyBorder="1" applyProtection="1">
      <protection locked="0"/>
    </xf>
    <xf numFmtId="172" fontId="0" fillId="6" borderId="5" xfId="0" applyNumberFormat="1" applyFont="1" applyFill="1" applyBorder="1" applyAlignment="1" applyProtection="1">
      <alignment vertical="center"/>
      <protection locked="0"/>
    </xf>
    <xf numFmtId="172" fontId="0" fillId="2" borderId="10" xfId="0" applyNumberFormat="1" applyFont="1" applyFill="1" applyBorder="1" applyAlignment="1" applyProtection="1">
      <protection locked="0"/>
    </xf>
    <xf numFmtId="172" fontId="0" fillId="2" borderId="5" xfId="0" applyNumberFormat="1" applyFont="1" applyFill="1" applyBorder="1" applyAlignment="1" applyProtection="1">
      <protection locked="0"/>
    </xf>
    <xf numFmtId="172" fontId="0" fillId="2" borderId="10" xfId="0" applyNumberFormat="1" applyFont="1" applyFill="1" applyBorder="1" applyAlignment="1" applyProtection="1">
      <alignment horizontal="right" vertical="center"/>
      <protection locked="0"/>
    </xf>
    <xf numFmtId="172" fontId="0" fillId="2" borderId="5" xfId="0" applyNumberFormat="1" applyFont="1" applyFill="1" applyBorder="1" applyAlignment="1" applyProtection="1">
      <alignment horizontal="right" vertical="center"/>
      <protection locked="0"/>
    </xf>
    <xf numFmtId="172" fontId="0" fillId="2" borderId="10" xfId="0" applyNumberFormat="1" applyFont="1" applyFill="1" applyBorder="1" applyAlignment="1" applyProtection="1">
      <alignment horizontal="center"/>
      <protection locked="0"/>
    </xf>
    <xf numFmtId="172" fontId="0" fillId="2" borderId="5" xfId="0" applyNumberFormat="1" applyFont="1" applyFill="1" applyBorder="1" applyAlignment="1" applyProtection="1">
      <alignment horizontal="center"/>
      <protection locked="0"/>
    </xf>
    <xf numFmtId="172" fontId="0" fillId="4" borderId="5" xfId="0" applyNumberFormat="1" applyFont="1" applyFill="1" applyBorder="1" applyAlignment="1">
      <alignment horizontal="right"/>
    </xf>
    <xf numFmtId="172" fontId="0" fillId="0" borderId="5" xfId="0" applyNumberFormat="1" applyFont="1" applyBorder="1" applyAlignment="1">
      <alignment horizontal="right"/>
    </xf>
    <xf numFmtId="0" fontId="0" fillId="7" borderId="5" xfId="0" applyFont="1" applyFill="1" applyBorder="1" applyAlignment="1">
      <alignment horizontal="left" vertical="center" wrapText="1"/>
    </xf>
    <xf numFmtId="172" fontId="0" fillId="7" borderId="5" xfId="0" applyNumberFormat="1" applyFont="1" applyFill="1" applyBorder="1" applyAlignment="1">
      <alignment horizontal="center"/>
    </xf>
    <xf numFmtId="172" fontId="0" fillId="4" borderId="3" xfId="0" applyNumberFormat="1" applyFont="1" applyFill="1" applyBorder="1" applyAlignment="1">
      <alignment horizontal="center"/>
    </xf>
    <xf numFmtId="172" fontId="0" fillId="4" borderId="0" xfId="0" applyNumberFormat="1" applyFont="1" applyFill="1" applyBorder="1" applyAlignment="1">
      <alignment horizontal="center"/>
    </xf>
    <xf numFmtId="178" fontId="0" fillId="7" borderId="5" xfId="0" applyNumberFormat="1" applyFont="1" applyFill="1" applyBorder="1" applyAlignment="1">
      <alignment horizontal="center" vertical="center" wrapText="1"/>
    </xf>
    <xf numFmtId="178" fontId="0" fillId="4" borderId="3" xfId="0" applyNumberFormat="1" applyFont="1" applyFill="1" applyBorder="1" applyAlignment="1">
      <alignment horizontal="center" vertical="center" wrapText="1"/>
    </xf>
    <xf numFmtId="178" fontId="0" fillId="4" borderId="0" xfId="0" applyNumberFormat="1" applyFont="1" applyFill="1" applyBorder="1" applyAlignment="1">
      <alignment horizontal="center" vertical="center" wrapText="1"/>
    </xf>
    <xf numFmtId="179" fontId="0" fillId="7" borderId="5" xfId="0" applyNumberFormat="1" applyFont="1" applyFill="1" applyBorder="1" applyAlignment="1">
      <alignment horizontal="left" vertical="center" wrapText="1"/>
    </xf>
    <xf numFmtId="172" fontId="0" fillId="7" borderId="5" xfId="0" applyNumberFormat="1" applyFont="1" applyFill="1" applyBorder="1" applyAlignment="1">
      <alignment horizontal="center" vertical="center"/>
    </xf>
    <xf numFmtId="172" fontId="0" fillId="4" borderId="3" xfId="0" applyNumberFormat="1" applyFont="1" applyFill="1" applyBorder="1" applyAlignment="1">
      <alignment horizontal="center" vertical="center"/>
    </xf>
    <xf numFmtId="172" fontId="0" fillId="4" borderId="0" xfId="0" applyNumberFormat="1" applyFont="1" applyFill="1" applyBorder="1" applyAlignment="1">
      <alignment horizontal="center" vertical="center"/>
    </xf>
    <xf numFmtId="0" fontId="0" fillId="7" borderId="5" xfId="2" applyNumberFormat="1" applyFont="1" applyFill="1" applyBorder="1" applyAlignment="1" applyProtection="1">
      <alignment horizontal="center" vertical="center" wrapText="1"/>
    </xf>
    <xf numFmtId="172" fontId="0" fillId="7" borderId="5" xfId="0" applyNumberFormat="1" applyFont="1" applyFill="1" applyBorder="1" applyAlignment="1">
      <alignment horizontal="left" vertical="center"/>
    </xf>
    <xf numFmtId="180" fontId="0" fillId="7" borderId="5" xfId="0" applyNumberFormat="1" applyFont="1" applyFill="1" applyBorder="1" applyAlignment="1">
      <alignment horizontal="center" vertical="center"/>
    </xf>
    <xf numFmtId="180" fontId="0" fillId="4" borderId="3" xfId="0" applyNumberFormat="1" applyFont="1" applyFill="1" applyBorder="1" applyAlignment="1">
      <alignment horizontal="center" vertical="center"/>
    </xf>
    <xf numFmtId="180" fontId="0" fillId="4" borderId="0" xfId="0" applyNumberFormat="1" applyFont="1" applyFill="1" applyBorder="1" applyAlignment="1">
      <alignment horizontal="center" vertical="center"/>
    </xf>
    <xf numFmtId="172" fontId="0" fillId="0" borderId="5" xfId="0" applyNumberFormat="1" applyFont="1" applyBorder="1" applyAlignment="1">
      <alignment wrapText="1"/>
    </xf>
    <xf numFmtId="172" fontId="52" fillId="4" borderId="5" xfId="0" applyNumberFormat="1" applyFont="1" applyFill="1" applyBorder="1"/>
    <xf numFmtId="172" fontId="52" fillId="4" borderId="3" xfId="0" applyNumberFormat="1" applyFont="1" applyFill="1" applyBorder="1"/>
    <xf numFmtId="172" fontId="52" fillId="4" borderId="0" xfId="0" applyNumberFormat="1" applyFont="1" applyFill="1" applyBorder="1"/>
    <xf numFmtId="172" fontId="34" fillId="4" borderId="3" xfId="0" applyNumberFormat="1" applyFont="1" applyFill="1" applyBorder="1"/>
    <xf numFmtId="172" fontId="34" fillId="4" borderId="0" xfId="0" applyNumberFormat="1" applyFont="1" applyFill="1" applyBorder="1"/>
    <xf numFmtId="172" fontId="34" fillId="7" borderId="16" xfId="0" applyNumberFormat="1" applyFont="1" applyFill="1" applyBorder="1"/>
    <xf numFmtId="172" fontId="34" fillId="7" borderId="22" xfId="0" applyNumberFormat="1" applyFont="1" applyFill="1" applyBorder="1"/>
    <xf numFmtId="172" fontId="34" fillId="7" borderId="14" xfId="0" applyNumberFormat="1" applyFont="1" applyFill="1" applyBorder="1"/>
    <xf numFmtId="172" fontId="34" fillId="7" borderId="11" xfId="0" applyNumberFormat="1" applyFont="1" applyFill="1" applyBorder="1"/>
    <xf numFmtId="172" fontId="34" fillId="0" borderId="4" xfId="0" applyNumberFormat="1" applyFont="1" applyBorder="1"/>
    <xf numFmtId="172" fontId="34" fillId="0" borderId="16" xfId="0" applyNumberFormat="1" applyFont="1" applyBorder="1"/>
    <xf numFmtId="172" fontId="34" fillId="0" borderId="5" xfId="0" applyNumberFormat="1" applyFont="1" applyBorder="1" applyAlignment="1">
      <alignment wrapText="1"/>
    </xf>
    <xf numFmtId="172" fontId="34" fillId="0" borderId="5" xfId="0" applyNumberFormat="1" applyFont="1" applyBorder="1" applyAlignment="1">
      <alignment vertical="center"/>
    </xf>
    <xf numFmtId="172" fontId="34" fillId="0" borderId="5" xfId="0" applyNumberFormat="1" applyFont="1" applyBorder="1" applyAlignment="1" applyProtection="1">
      <alignment vertical="center"/>
      <protection hidden="1"/>
    </xf>
    <xf numFmtId="172" fontId="34" fillId="0" borderId="29" xfId="0" applyNumberFormat="1" applyFont="1" applyBorder="1" applyAlignment="1">
      <alignment wrapText="1"/>
    </xf>
    <xf numFmtId="172" fontId="34" fillId="0" borderId="29" xfId="0" applyNumberFormat="1" applyFont="1" applyBorder="1" applyAlignment="1">
      <alignment vertical="center"/>
    </xf>
    <xf numFmtId="172" fontId="34" fillId="0" borderId="29" xfId="0" applyNumberFormat="1" applyFont="1" applyBorder="1" applyAlignment="1" applyProtection="1">
      <alignment vertical="center"/>
      <protection hidden="1"/>
    </xf>
    <xf numFmtId="172" fontId="34" fillId="0" borderId="4" xfId="0" applyNumberFormat="1" applyFont="1" applyBorder="1" applyProtection="1"/>
    <xf numFmtId="172" fontId="34" fillId="0" borderId="16" xfId="0" applyNumberFormat="1" applyFont="1" applyBorder="1" applyProtection="1"/>
    <xf numFmtId="172" fontId="34" fillId="4" borderId="3" xfId="0" applyNumberFormat="1" applyFont="1" applyFill="1" applyBorder="1" applyProtection="1"/>
    <xf numFmtId="172" fontId="34" fillId="4" borderId="0" xfId="0" applyNumberFormat="1" applyFont="1" applyFill="1" applyBorder="1" applyProtection="1"/>
    <xf numFmtId="0" fontId="49" fillId="4" borderId="5" xfId="0" applyFont="1" applyFill="1" applyBorder="1" applyAlignment="1">
      <alignment horizontal="left" vertical="center" wrapText="1"/>
    </xf>
    <xf numFmtId="172" fontId="34" fillId="0" borderId="5" xfId="0" applyNumberFormat="1" applyFont="1" applyBorder="1" applyAlignment="1">
      <alignment vertical="center" wrapText="1"/>
    </xf>
    <xf numFmtId="172" fontId="53" fillId="0" borderId="5" xfId="0" applyNumberFormat="1" applyFont="1" applyBorder="1" applyAlignment="1">
      <alignment horizontal="center" vertical="center"/>
    </xf>
    <xf numFmtId="175" fontId="31" fillId="0" borderId="5" xfId="1" applyNumberFormat="1" applyFont="1" applyBorder="1" applyAlignment="1" applyProtection="1">
      <alignment vertical="center"/>
    </xf>
    <xf numFmtId="0" fontId="0" fillId="0" borderId="0" xfId="0" applyFont="1" applyAlignment="1">
      <alignment vertical="center" wrapText="1"/>
    </xf>
    <xf numFmtId="175" fontId="7" fillId="0" borderId="0" xfId="1" applyNumberFormat="1" applyFont="1" applyBorder="1" applyAlignment="1" applyProtection="1">
      <alignment vertical="center"/>
    </xf>
    <xf numFmtId="0" fontId="25" fillId="0" borderId="0" xfId="0" applyFont="1"/>
    <xf numFmtId="0" fontId="0" fillId="0" borderId="0" xfId="0" applyFont="1"/>
    <xf numFmtId="0" fontId="25" fillId="0" borderId="0" xfId="0" applyFont="1" applyBorder="1" applyAlignment="1">
      <alignment horizontal="left" vertical="center" wrapText="1"/>
    </xf>
    <xf numFmtId="181" fontId="55" fillId="0" borderId="0" xfId="0" applyNumberFormat="1" applyFont="1" applyBorder="1" applyAlignment="1" applyProtection="1">
      <alignment horizontal="center" vertical="center" wrapText="1"/>
      <protection hidden="1"/>
    </xf>
    <xf numFmtId="0" fontId="47" fillId="10" borderId="30" xfId="0" applyFont="1" applyFill="1" applyBorder="1" applyAlignment="1" applyProtection="1">
      <alignment vertical="center"/>
    </xf>
    <xf numFmtId="0" fontId="0" fillId="0" borderId="3" xfId="0" applyFont="1" applyBorder="1" applyAlignment="1">
      <alignment vertical="center" wrapText="1"/>
    </xf>
    <xf numFmtId="0" fontId="0" fillId="0" borderId="0" xfId="0" applyBorder="1" applyAlignment="1" applyProtection="1">
      <alignment horizontal="center" vertical="center" wrapText="1"/>
      <protection hidden="1"/>
    </xf>
    <xf numFmtId="0" fontId="0" fillId="0" borderId="0" xfId="0" applyAlignment="1"/>
    <xf numFmtId="0" fontId="57" fillId="10" borderId="8" xfId="3" applyFont="1" applyFill="1" applyBorder="1" applyAlignment="1" applyProtection="1">
      <alignment vertical="center"/>
    </xf>
    <xf numFmtId="166" fontId="58" fillId="2" borderId="0" xfId="0" applyNumberFormat="1" applyFont="1" applyFill="1" applyBorder="1" applyAlignment="1" applyProtection="1">
      <alignment horizontal="center" vertical="center" wrapText="1"/>
      <protection locked="0" hidden="1"/>
    </xf>
    <xf numFmtId="0" fontId="0" fillId="2" borderId="0" xfId="0" applyFill="1"/>
    <xf numFmtId="0" fontId="59" fillId="0" borderId="0" xfId="0" applyFont="1" applyAlignment="1">
      <alignment horizontal="left" vertical="center"/>
    </xf>
    <xf numFmtId="0" fontId="59" fillId="0" borderId="0" xfId="0" applyFont="1" applyAlignment="1">
      <alignment vertical="center"/>
    </xf>
    <xf numFmtId="0" fontId="61" fillId="0" borderId="0" xfId="0" applyFont="1"/>
    <xf numFmtId="0" fontId="0" fillId="0" borderId="0" xfId="0" applyProtection="1"/>
    <xf numFmtId="0" fontId="0" fillId="0" borderId="0" xfId="0" applyProtection="1">
      <protection locked="0"/>
    </xf>
    <xf numFmtId="0" fontId="66" fillId="0" borderId="0" xfId="0" applyFont="1"/>
    <xf numFmtId="167" fontId="67" fillId="0" borderId="0" xfId="0" applyNumberFormat="1" applyFont="1"/>
    <xf numFmtId="0" fontId="68" fillId="0" borderId="0" xfId="0" applyFont="1"/>
    <xf numFmtId="0" fontId="66" fillId="0" borderId="0" xfId="0" applyFont="1"/>
    <xf numFmtId="0" fontId="54" fillId="0" borderId="32" xfId="0" applyFont="1" applyBorder="1"/>
    <xf numFmtId="0" fontId="54" fillId="0" borderId="33" xfId="0" applyFont="1" applyBorder="1"/>
    <xf numFmtId="167" fontId="54" fillId="6" borderId="33" xfId="0" applyNumberFormat="1" applyFont="1" applyFill="1" applyBorder="1" applyProtection="1">
      <protection locked="0" hidden="1"/>
    </xf>
    <xf numFmtId="167" fontId="35" fillId="0" borderId="33" xfId="0" applyNumberFormat="1" applyFont="1" applyBorder="1" applyProtection="1">
      <protection hidden="1"/>
    </xf>
    <xf numFmtId="0" fontId="68" fillId="0" borderId="33" xfId="0" applyFont="1" applyBorder="1" applyProtection="1">
      <protection hidden="1"/>
    </xf>
    <xf numFmtId="1" fontId="68" fillId="0" borderId="33" xfId="0" applyNumberFormat="1" applyFont="1" applyBorder="1" applyAlignment="1" applyProtection="1">
      <alignment horizontal="center"/>
      <protection hidden="1"/>
    </xf>
    <xf numFmtId="0" fontId="68" fillId="0" borderId="34" xfId="0" applyFont="1" applyBorder="1" applyProtection="1">
      <protection hidden="1"/>
    </xf>
    <xf numFmtId="167" fontId="70" fillId="0" borderId="0" xfId="0" applyNumberFormat="1" applyFont="1"/>
    <xf numFmtId="167" fontId="72" fillId="0" borderId="0" xfId="0" applyNumberFormat="1" applyFont="1"/>
    <xf numFmtId="167" fontId="68" fillId="0" borderId="0" xfId="0" applyNumberFormat="1" applyFont="1"/>
    <xf numFmtId="167" fontId="66" fillId="0" borderId="0" xfId="0" applyNumberFormat="1" applyFont="1"/>
    <xf numFmtId="0" fontId="54" fillId="15" borderId="18" xfId="0" applyFont="1" applyFill="1" applyBorder="1"/>
    <xf numFmtId="0" fontId="35" fillId="16" borderId="5" xfId="0" applyFont="1" applyFill="1" applyBorder="1" applyAlignment="1">
      <alignment horizontal="center"/>
    </xf>
    <xf numFmtId="0" fontId="35" fillId="6" borderId="5" xfId="0" applyFont="1" applyFill="1" applyBorder="1" applyAlignment="1" applyProtection="1">
      <alignment horizontal="center"/>
      <protection locked="0"/>
    </xf>
    <xf numFmtId="0" fontId="35" fillId="16" borderId="26" xfId="0" applyFont="1" applyFill="1" applyBorder="1" applyAlignment="1">
      <alignment horizontal="center"/>
    </xf>
    <xf numFmtId="0" fontId="35" fillId="0" borderId="18" xfId="0" applyFont="1" applyBorder="1"/>
    <xf numFmtId="1" fontId="35" fillId="6" borderId="0" xfId="0" applyNumberFormat="1" applyFont="1" applyFill="1" applyBorder="1" applyAlignment="1" applyProtection="1">
      <alignment horizontal="center"/>
      <protection locked="0"/>
    </xf>
    <xf numFmtId="1" fontId="74" fillId="0" borderId="10" xfId="0" applyNumberFormat="1" applyFont="1" applyBorder="1" applyAlignment="1" applyProtection="1">
      <alignment horizontal="center"/>
      <protection hidden="1"/>
    </xf>
    <xf numFmtId="0" fontId="35" fillId="0" borderId="4" xfId="0" applyFont="1" applyBorder="1" applyProtection="1"/>
    <xf numFmtId="0" fontId="35" fillId="0" borderId="36" xfId="0" applyFont="1" applyBorder="1" applyProtection="1"/>
    <xf numFmtId="1" fontId="47" fillId="0" borderId="5" xfId="0" applyNumberFormat="1" applyFont="1" applyBorder="1" applyAlignment="1" applyProtection="1">
      <alignment horizontal="center"/>
    </xf>
    <xf numFmtId="49" fontId="35" fillId="6" borderId="0" xfId="0" applyNumberFormat="1" applyFont="1" applyFill="1" applyBorder="1" applyAlignment="1" applyProtection="1">
      <alignment horizontal="center"/>
      <protection locked="0"/>
    </xf>
    <xf numFmtId="0" fontId="75" fillId="0" borderId="22" xfId="0" applyFont="1" applyBorder="1" applyAlignment="1" applyProtection="1">
      <alignment horizontal="center"/>
      <protection locked="0"/>
    </xf>
    <xf numFmtId="0" fontId="66" fillId="0" borderId="37" xfId="0" applyFont="1" applyBorder="1"/>
    <xf numFmtId="0" fontId="74" fillId="0" borderId="5" xfId="0" applyFont="1" applyBorder="1" applyAlignment="1">
      <alignment horizontal="center"/>
    </xf>
    <xf numFmtId="0" fontId="75" fillId="0" borderId="22" xfId="0" applyFont="1" applyBorder="1" applyAlignment="1" applyProtection="1">
      <alignment horizontal="center"/>
      <protection locked="0"/>
    </xf>
    <xf numFmtId="172" fontId="75" fillId="0" borderId="22" xfId="0" applyNumberFormat="1" applyFont="1" applyBorder="1" applyAlignment="1" applyProtection="1">
      <alignment horizontal="center"/>
      <protection locked="0"/>
    </xf>
    <xf numFmtId="0" fontId="77" fillId="6" borderId="37" xfId="0" applyFont="1" applyFill="1" applyBorder="1"/>
    <xf numFmtId="167" fontId="35" fillId="6" borderId="5" xfId="0" applyNumberFormat="1" applyFont="1" applyFill="1" applyBorder="1" applyAlignment="1" applyProtection="1">
      <alignment horizontal="center"/>
      <protection locked="0"/>
    </xf>
    <xf numFmtId="0" fontId="35" fillId="0" borderId="0" xfId="0" applyFont="1"/>
    <xf numFmtId="0" fontId="68" fillId="0" borderId="0" xfId="0" applyFont="1"/>
    <xf numFmtId="0" fontId="35" fillId="0" borderId="37" xfId="0" applyFont="1" applyBorder="1" applyProtection="1"/>
    <xf numFmtId="1" fontId="35" fillId="0" borderId="22" xfId="0" applyNumberFormat="1" applyFont="1" applyBorder="1" applyAlignment="1" applyProtection="1">
      <alignment horizontal="center"/>
    </xf>
    <xf numFmtId="1" fontId="35" fillId="0" borderId="5" xfId="0" applyNumberFormat="1" applyFont="1" applyBorder="1" applyAlignment="1" applyProtection="1">
      <alignment horizontal="center"/>
    </xf>
    <xf numFmtId="1" fontId="35" fillId="0" borderId="26" xfId="0" applyNumberFormat="1" applyFont="1" applyBorder="1" applyAlignment="1" applyProtection="1">
      <alignment horizontal="center"/>
    </xf>
    <xf numFmtId="0" fontId="35" fillId="0" borderId="37" xfId="0" applyFont="1" applyBorder="1" applyProtection="1"/>
    <xf numFmtId="0" fontId="35" fillId="0" borderId="5" xfId="0" applyFont="1" applyBorder="1" applyAlignment="1" applyProtection="1">
      <alignment horizontal="center"/>
    </xf>
    <xf numFmtId="0" fontId="35" fillId="0" borderId="26" xfId="0" applyFont="1" applyBorder="1" applyAlignment="1" applyProtection="1">
      <alignment horizontal="center"/>
    </xf>
    <xf numFmtId="0" fontId="35" fillId="2" borderId="37" xfId="0" applyFont="1" applyFill="1" applyBorder="1" applyProtection="1"/>
    <xf numFmtId="1" fontId="35" fillId="2" borderId="22" xfId="0" applyNumberFormat="1" applyFont="1" applyFill="1" applyBorder="1" applyAlignment="1" applyProtection="1">
      <alignment horizontal="center"/>
    </xf>
    <xf numFmtId="0" fontId="35" fillId="2" borderId="5" xfId="0" applyFont="1" applyFill="1" applyBorder="1" applyAlignment="1" applyProtection="1">
      <alignment horizontal="center"/>
    </xf>
    <xf numFmtId="0" fontId="35" fillId="2" borderId="26" xfId="0" applyFont="1" applyFill="1" applyBorder="1" applyAlignment="1" applyProtection="1">
      <alignment horizontal="center"/>
    </xf>
    <xf numFmtId="0" fontId="66" fillId="2" borderId="0" xfId="0" applyFont="1" applyFill="1"/>
    <xf numFmtId="0" fontId="66" fillId="2" borderId="0" xfId="0" applyFont="1" applyFill="1" applyAlignment="1">
      <alignment horizontal="center"/>
    </xf>
    <xf numFmtId="0" fontId="35" fillId="0" borderId="38" xfId="0" applyFont="1" applyBorder="1" applyProtection="1"/>
    <xf numFmtId="0" fontId="35" fillId="0" borderId="5" xfId="0" applyFont="1" applyBorder="1" applyProtection="1"/>
    <xf numFmtId="1" fontId="35" fillId="0" borderId="16" xfId="0" applyNumberFormat="1" applyFont="1" applyBorder="1" applyAlignment="1" applyProtection="1">
      <alignment horizontal="center"/>
    </xf>
    <xf numFmtId="0" fontId="78" fillId="0" borderId="37" xfId="0" applyFont="1" applyBorder="1" applyProtection="1"/>
    <xf numFmtId="0" fontId="79" fillId="0" borderId="0" xfId="0" applyFont="1" applyAlignment="1">
      <alignment horizontal="center"/>
    </xf>
    <xf numFmtId="0" fontId="35" fillId="0" borderId="22" xfId="0" applyFont="1" applyBorder="1" applyProtection="1"/>
    <xf numFmtId="181" fontId="35" fillId="0" borderId="5" xfId="0" applyNumberFormat="1" applyFont="1" applyBorder="1" applyProtection="1"/>
    <xf numFmtId="181" fontId="35" fillId="0" borderId="26" xfId="0" applyNumberFormat="1" applyFont="1" applyBorder="1" applyProtection="1"/>
    <xf numFmtId="0" fontId="66" fillId="0" borderId="0" xfId="0" applyFont="1" applyBorder="1"/>
    <xf numFmtId="181" fontId="35" fillId="0" borderId="22" xfId="0" applyNumberFormat="1" applyFont="1" applyBorder="1" applyProtection="1"/>
    <xf numFmtId="181" fontId="35" fillId="0" borderId="39" xfId="0" applyNumberFormat="1" applyFont="1" applyBorder="1" applyProtection="1"/>
    <xf numFmtId="0" fontId="79" fillId="0" borderId="5" xfId="0" applyFont="1" applyBorder="1" applyAlignment="1">
      <alignment horizontal="center"/>
    </xf>
    <xf numFmtId="0" fontId="35" fillId="0" borderId="0" xfId="0" applyFont="1"/>
    <xf numFmtId="181" fontId="35" fillId="0" borderId="5" xfId="0" applyNumberFormat="1" applyFont="1" applyBorder="1" applyAlignment="1" applyProtection="1">
      <alignment horizontal="center"/>
      <protection locked="0" hidden="1"/>
    </xf>
    <xf numFmtId="181" fontId="35" fillId="0" borderId="26" xfId="0" applyNumberFormat="1" applyFont="1" applyBorder="1" applyAlignment="1" applyProtection="1">
      <alignment horizontal="center"/>
      <protection locked="0" hidden="1"/>
    </xf>
    <xf numFmtId="0" fontId="35" fillId="0" borderId="21" xfId="0" applyFont="1" applyBorder="1"/>
    <xf numFmtId="0" fontId="35" fillId="0" borderId="27" xfId="0" applyFont="1" applyBorder="1"/>
    <xf numFmtId="181" fontId="35" fillId="0" borderId="40" xfId="0" applyNumberFormat="1" applyFont="1" applyBorder="1" applyAlignment="1" applyProtection="1">
      <alignment horizontal="center"/>
      <protection locked="0" hidden="1"/>
    </xf>
    <xf numFmtId="181" fontId="35" fillId="0" borderId="41" xfId="0" applyNumberFormat="1" applyFont="1" applyBorder="1" applyAlignment="1" applyProtection="1">
      <alignment horizontal="center"/>
      <protection locked="0" hidden="1"/>
    </xf>
    <xf numFmtId="0" fontId="80" fillId="0" borderId="0" xfId="0" applyFont="1" applyBorder="1" applyAlignment="1">
      <alignment horizontal="left"/>
    </xf>
    <xf numFmtId="0" fontId="54" fillId="15" borderId="23" xfId="0" applyFont="1" applyFill="1" applyBorder="1"/>
    <xf numFmtId="181" fontId="35" fillId="16" borderId="24" xfId="0" applyNumberFormat="1" applyFont="1" applyFill="1" applyBorder="1" applyAlignment="1">
      <alignment horizontal="center"/>
    </xf>
    <xf numFmtId="181" fontId="35" fillId="0" borderId="42" xfId="0" applyNumberFormat="1" applyFont="1" applyBorder="1"/>
    <xf numFmtId="181" fontId="35" fillId="0" borderId="43" xfId="0" applyNumberFormat="1" applyFont="1" applyBorder="1"/>
    <xf numFmtId="181" fontId="35" fillId="0" borderId="44" xfId="0" applyNumberFormat="1" applyFont="1" applyBorder="1"/>
    <xf numFmtId="181" fontId="35" fillId="0" borderId="45" xfId="0" applyNumberFormat="1" applyFont="1" applyBorder="1" applyProtection="1"/>
    <xf numFmtId="49" fontId="35" fillId="0" borderId="18" xfId="0" applyNumberFormat="1" applyFont="1" applyBorder="1"/>
    <xf numFmtId="181" fontId="35" fillId="0" borderId="5" xfId="0" applyNumberFormat="1" applyFont="1" applyBorder="1"/>
    <xf numFmtId="167" fontId="35" fillId="0" borderId="5" xfId="0" applyNumberFormat="1" applyFont="1" applyBorder="1" applyAlignment="1" applyProtection="1">
      <alignment horizontal="center"/>
      <protection locked="0"/>
    </xf>
    <xf numFmtId="167" fontId="35" fillId="0" borderId="5" xfId="0" applyNumberFormat="1" applyFont="1" applyBorder="1" applyAlignment="1" applyProtection="1">
      <alignment horizontal="center"/>
    </xf>
    <xf numFmtId="1" fontId="35" fillId="0" borderId="8" xfId="0" applyNumberFormat="1" applyFont="1" applyBorder="1" applyProtection="1"/>
    <xf numFmtId="1" fontId="35" fillId="0" borderId="13" xfId="0" applyNumberFormat="1" applyFont="1" applyBorder="1" applyProtection="1"/>
    <xf numFmtId="1" fontId="35" fillId="0" borderId="14" xfId="0" applyNumberFormat="1" applyFont="1" applyBorder="1" applyProtection="1"/>
    <xf numFmtId="181" fontId="35" fillId="0" borderId="46" xfId="0" applyNumberFormat="1" applyFont="1" applyBorder="1" applyProtection="1"/>
    <xf numFmtId="1" fontId="35" fillId="0" borderId="10" xfId="0" applyNumberFormat="1" applyFont="1" applyBorder="1" applyProtection="1"/>
    <xf numFmtId="1" fontId="35" fillId="0" borderId="4" xfId="0" applyNumberFormat="1" applyFont="1" applyBorder="1" applyProtection="1"/>
    <xf numFmtId="1" fontId="35" fillId="0" borderId="16" xfId="0" applyNumberFormat="1" applyFont="1" applyBorder="1" applyProtection="1"/>
    <xf numFmtId="181" fontId="35" fillId="0" borderId="5" xfId="0" applyNumberFormat="1" applyFont="1" applyBorder="1" applyAlignment="1" applyProtection="1">
      <alignment horizontal="center"/>
    </xf>
    <xf numFmtId="181" fontId="35" fillId="0" borderId="10" xfId="0" applyNumberFormat="1" applyFont="1" applyBorder="1" applyProtection="1"/>
    <xf numFmtId="181" fontId="35" fillId="0" borderId="4" xfId="0" applyNumberFormat="1" applyFont="1" applyBorder="1" applyProtection="1"/>
    <xf numFmtId="181" fontId="35" fillId="0" borderId="16" xfId="0" applyNumberFormat="1" applyFont="1" applyBorder="1" applyProtection="1"/>
    <xf numFmtId="181" fontId="35" fillId="0" borderId="30" xfId="0" applyNumberFormat="1" applyFont="1" applyBorder="1" applyProtection="1"/>
    <xf numFmtId="181" fontId="35" fillId="0" borderId="12" xfId="0" applyNumberFormat="1" applyFont="1" applyBorder="1" applyProtection="1"/>
    <xf numFmtId="181" fontId="35" fillId="0" borderId="15" xfId="0" applyNumberFormat="1" applyFont="1" applyBorder="1" applyProtection="1"/>
    <xf numFmtId="49" fontId="47" fillId="0" borderId="18" xfId="0" applyNumberFormat="1" applyFont="1" applyBorder="1"/>
    <xf numFmtId="181" fontId="81" fillId="0" borderId="5" xfId="0" applyNumberFormat="1" applyFont="1" applyBorder="1" applyAlignment="1" applyProtection="1">
      <alignment horizontal="center"/>
      <protection hidden="1"/>
    </xf>
    <xf numFmtId="181" fontId="35" fillId="0" borderId="5" xfId="0" applyNumberFormat="1" applyFont="1" applyBorder="1" applyAlignment="1" applyProtection="1">
      <alignment horizontal="center"/>
      <protection locked="0"/>
    </xf>
    <xf numFmtId="3" fontId="35" fillId="0" borderId="10" xfId="0" applyNumberFormat="1" applyFont="1" applyBorder="1" applyAlignment="1" applyProtection="1">
      <alignment horizontal="left"/>
    </xf>
    <xf numFmtId="3" fontId="35" fillId="0" borderId="4" xfId="0" applyNumberFormat="1" applyFont="1" applyBorder="1" applyAlignment="1" applyProtection="1">
      <alignment horizontal="center"/>
    </xf>
    <xf numFmtId="3" fontId="35" fillId="0" borderId="13" xfId="0" applyNumberFormat="1" applyFont="1" applyBorder="1" applyAlignment="1" applyProtection="1">
      <alignment horizontal="center"/>
    </xf>
    <xf numFmtId="3" fontId="35" fillId="0" borderId="47" xfId="0" applyNumberFormat="1" applyFont="1" applyBorder="1" applyAlignment="1" applyProtection="1">
      <alignment horizontal="center"/>
    </xf>
    <xf numFmtId="181" fontId="76" fillId="0" borderId="5" xfId="0" applyNumberFormat="1" applyFont="1" applyBorder="1" applyAlignment="1">
      <alignment horizontal="center"/>
    </xf>
    <xf numFmtId="3" fontId="35" fillId="0" borderId="5" xfId="0" applyNumberFormat="1" applyFont="1" applyBorder="1" applyAlignment="1" applyProtection="1">
      <alignment horizontal="left"/>
    </xf>
    <xf numFmtId="3" fontId="35" fillId="0" borderId="5" xfId="0" applyNumberFormat="1" applyFont="1" applyBorder="1" applyAlignment="1" applyProtection="1">
      <alignment horizontal="center"/>
    </xf>
    <xf numFmtId="3" fontId="35" fillId="0" borderId="26" xfId="0" applyNumberFormat="1" applyFont="1" applyBorder="1" applyAlignment="1" applyProtection="1">
      <alignment horizontal="center"/>
    </xf>
    <xf numFmtId="0" fontId="66" fillId="0" borderId="44" xfId="0" applyFont="1" applyBorder="1"/>
    <xf numFmtId="49" fontId="82" fillId="0" borderId="44" xfId="0" applyNumberFormat="1" applyFont="1" applyBorder="1" applyAlignment="1">
      <alignment horizontal="center"/>
    </xf>
    <xf numFmtId="49" fontId="82" fillId="0" borderId="45" xfId="0" applyNumberFormat="1" applyFont="1" applyBorder="1" applyAlignment="1">
      <alignment horizontal="center"/>
    </xf>
    <xf numFmtId="0" fontId="66" fillId="0" borderId="48" xfId="0" applyFont="1" applyBorder="1"/>
    <xf numFmtId="0" fontId="0" fillId="0" borderId="45" xfId="0" applyBorder="1" applyAlignment="1">
      <alignment horizontal="right"/>
    </xf>
    <xf numFmtId="0" fontId="66" fillId="0" borderId="0" xfId="0" applyFont="1" applyAlignment="1">
      <alignment horizontal="center"/>
    </xf>
    <xf numFmtId="0" fontId="35" fillId="0" borderId="0" xfId="0" applyFont="1" applyBorder="1"/>
    <xf numFmtId="181" fontId="35" fillId="0" borderId="0" xfId="0" applyNumberFormat="1" applyFont="1" applyBorder="1" applyProtection="1"/>
    <xf numFmtId="181" fontId="35" fillId="0" borderId="47" xfId="0" applyNumberFormat="1" applyFont="1" applyBorder="1" applyProtection="1"/>
    <xf numFmtId="1" fontId="35" fillId="0" borderId="49" xfId="0" applyNumberFormat="1" applyFont="1" applyBorder="1"/>
    <xf numFmtId="0" fontId="35" fillId="0" borderId="49" xfId="0" applyFont="1" applyBorder="1"/>
    <xf numFmtId="1" fontId="35" fillId="0" borderId="18" xfId="0" applyNumberFormat="1" applyFont="1" applyBorder="1"/>
    <xf numFmtId="181" fontId="35" fillId="0" borderId="8" xfId="0" applyNumberFormat="1" applyFont="1" applyBorder="1" applyProtection="1"/>
    <xf numFmtId="0" fontId="35" fillId="0" borderId="50" xfId="0" applyFont="1" applyBorder="1"/>
    <xf numFmtId="0" fontId="35" fillId="0" borderId="51" xfId="0" applyFont="1" applyBorder="1"/>
    <xf numFmtId="181" fontId="66" fillId="0" borderId="0" xfId="0" applyNumberFormat="1" applyFont="1"/>
    <xf numFmtId="1" fontId="35" fillId="0" borderId="52" xfId="0" applyNumberFormat="1" applyFont="1" applyBorder="1"/>
    <xf numFmtId="181" fontId="35" fillId="0" borderId="33" xfId="0" applyNumberFormat="1" applyFont="1" applyBorder="1" applyProtection="1"/>
    <xf numFmtId="0" fontId="66" fillId="0" borderId="50" xfId="0" applyFont="1" applyBorder="1"/>
    <xf numFmtId="181" fontId="66" fillId="0" borderId="0" xfId="0" applyNumberFormat="1" applyFont="1" applyBorder="1"/>
    <xf numFmtId="181" fontId="35" fillId="0" borderId="5" xfId="0" applyNumberFormat="1" applyFont="1" applyBorder="1"/>
    <xf numFmtId="181" fontId="74" fillId="0" borderId="26" xfId="0" applyNumberFormat="1" applyFont="1" applyBorder="1" applyProtection="1"/>
    <xf numFmtId="181" fontId="74" fillId="0" borderId="33" xfId="0" applyNumberFormat="1" applyFont="1" applyBorder="1"/>
    <xf numFmtId="0" fontId="66" fillId="0" borderId="33" xfId="0" applyFont="1" applyBorder="1"/>
    <xf numFmtId="0" fontId="35" fillId="0" borderId="28" xfId="0" applyFont="1" applyBorder="1" applyAlignment="1">
      <alignment horizontal="center"/>
    </xf>
    <xf numFmtId="0" fontId="35" fillId="0" borderId="53" xfId="0" applyFont="1" applyBorder="1" applyAlignment="1">
      <alignment horizontal="center"/>
    </xf>
    <xf numFmtId="0" fontId="66" fillId="0" borderId="40" xfId="0" applyFont="1" applyBorder="1"/>
    <xf numFmtId="0" fontId="35" fillId="0" borderId="41" xfId="0" applyFont="1" applyBorder="1" applyAlignment="1">
      <alignment horizontal="center"/>
    </xf>
    <xf numFmtId="0" fontId="35" fillId="0" borderId="52" xfId="0" applyFont="1" applyBorder="1" applyAlignment="1">
      <alignment horizontal="center"/>
    </xf>
    <xf numFmtId="0" fontId="35" fillId="0" borderId="33" xfId="0" applyFont="1" applyBorder="1" applyAlignment="1">
      <alignment horizontal="center"/>
    </xf>
    <xf numFmtId="0" fontId="35" fillId="0" borderId="21" xfId="0" applyFont="1" applyBorder="1" applyAlignment="1">
      <alignment horizontal="center"/>
    </xf>
    <xf numFmtId="0" fontId="66" fillId="0" borderId="27" xfId="0" applyFont="1" applyBorder="1"/>
    <xf numFmtId="0" fontId="35" fillId="0" borderId="54" xfId="0" applyFont="1" applyBorder="1" applyAlignment="1">
      <alignment horizontal="center"/>
    </xf>
    <xf numFmtId="0" fontId="35" fillId="0" borderId="32" xfId="0" applyFont="1" applyBorder="1" applyAlignment="1">
      <alignment horizontal="center"/>
    </xf>
    <xf numFmtId="0" fontId="35" fillId="0" borderId="5" xfId="0" applyFont="1" applyBorder="1"/>
    <xf numFmtId="3" fontId="35" fillId="0" borderId="0" xfId="0" applyNumberFormat="1" applyFont="1" applyAlignment="1">
      <alignment horizontal="center"/>
    </xf>
    <xf numFmtId="181" fontId="66" fillId="0" borderId="0" xfId="0" applyNumberFormat="1" applyFont="1" applyAlignment="1">
      <alignment horizontal="right"/>
    </xf>
    <xf numFmtId="1" fontId="35" fillId="0" borderId="5" xfId="0" applyNumberFormat="1" applyFont="1" applyBorder="1"/>
    <xf numFmtId="181" fontId="76" fillId="0" borderId="0" xfId="0" applyNumberFormat="1" applyFont="1"/>
    <xf numFmtId="181" fontId="76" fillId="0" borderId="0" xfId="0" applyNumberFormat="1" applyFont="1" applyAlignment="1">
      <alignment horizontal="right"/>
    </xf>
    <xf numFmtId="181" fontId="76" fillId="0" borderId="0" xfId="0" applyNumberFormat="1" applyFont="1" applyBorder="1"/>
    <xf numFmtId="181" fontId="47" fillId="0" borderId="0" xfId="0" applyNumberFormat="1" applyFont="1" applyAlignment="1">
      <alignment horizontal="right"/>
    </xf>
    <xf numFmtId="181" fontId="35" fillId="0" borderId="26" xfId="0" applyNumberFormat="1" applyFont="1" applyBorder="1" applyAlignment="1" applyProtection="1">
      <alignment horizontal="center"/>
      <protection locked="0"/>
    </xf>
    <xf numFmtId="49" fontId="35" fillId="0" borderId="18" xfId="0" applyNumberFormat="1" applyFont="1" applyBorder="1" applyProtection="1">
      <protection locked="0"/>
    </xf>
    <xf numFmtId="181" fontId="83" fillId="0" borderId="5" xfId="3" applyNumberFormat="1" applyFont="1" applyBorder="1" applyAlignment="1" applyProtection="1">
      <alignment horizontal="center" vertical="center"/>
    </xf>
    <xf numFmtId="181" fontId="35" fillId="0" borderId="5" xfId="0" applyNumberFormat="1" applyFont="1" applyBorder="1" applyAlignment="1" applyProtection="1">
      <alignment shrinkToFit="1"/>
      <protection locked="0"/>
    </xf>
    <xf numFmtId="181" fontId="35" fillId="0" borderId="5" xfId="0" applyNumberFormat="1" applyFont="1" applyBorder="1" applyProtection="1">
      <protection locked="0"/>
    </xf>
    <xf numFmtId="181" fontId="35" fillId="6" borderId="10" xfId="0" applyNumberFormat="1" applyFont="1" applyFill="1" applyBorder="1" applyAlignment="1" applyProtection="1">
      <alignment horizontal="center"/>
      <protection locked="0"/>
    </xf>
    <xf numFmtId="181" fontId="68" fillId="0" borderId="10" xfId="0" applyNumberFormat="1" applyFont="1" applyBorder="1" applyProtection="1"/>
    <xf numFmtId="181" fontId="68" fillId="0" borderId="4" xfId="0" applyNumberFormat="1" applyFont="1" applyBorder="1" applyProtection="1"/>
    <xf numFmtId="181" fontId="68" fillId="0" borderId="36" xfId="0" applyNumberFormat="1" applyFont="1" applyBorder="1" applyProtection="1"/>
    <xf numFmtId="49" fontId="35" fillId="0" borderId="50" xfId="0" applyNumberFormat="1" applyFont="1" applyBorder="1"/>
    <xf numFmtId="181" fontId="35" fillId="6" borderId="0" xfId="0" applyNumberFormat="1" applyFont="1" applyFill="1" applyBorder="1" applyAlignment="1" applyProtection="1">
      <alignment horizontal="center"/>
      <protection locked="0"/>
    </xf>
    <xf numFmtId="181" fontId="66" fillId="0" borderId="5" xfId="0" applyNumberFormat="1" applyFont="1" applyBorder="1" applyProtection="1"/>
    <xf numFmtId="181" fontId="66" fillId="0" borderId="26" xfId="0" applyNumberFormat="1" applyFont="1" applyBorder="1" applyProtection="1"/>
    <xf numFmtId="181" fontId="35" fillId="0" borderId="0" xfId="0" applyNumberFormat="1" applyFont="1" applyBorder="1" applyAlignment="1" applyProtection="1">
      <alignment horizontal="center"/>
      <protection locked="0"/>
    </xf>
    <xf numFmtId="181" fontId="35" fillId="0" borderId="26" xfId="0" applyNumberFormat="1" applyFont="1" applyBorder="1" applyProtection="1">
      <protection locked="0"/>
    </xf>
    <xf numFmtId="49" fontId="35" fillId="0" borderId="21" xfId="0" applyNumberFormat="1" applyFont="1" applyBorder="1"/>
    <xf numFmtId="181" fontId="35" fillId="0" borderId="27" xfId="0" applyNumberFormat="1" applyFont="1" applyBorder="1"/>
    <xf numFmtId="181" fontId="35" fillId="0" borderId="27" xfId="0" applyNumberFormat="1" applyFont="1" applyBorder="1" applyAlignment="1" applyProtection="1">
      <alignment horizontal="center"/>
      <protection locked="0"/>
    </xf>
    <xf numFmtId="181" fontId="35" fillId="0" borderId="28" xfId="0" applyNumberFormat="1" applyFont="1" applyBorder="1" applyAlignment="1" applyProtection="1">
      <alignment horizontal="center"/>
      <protection locked="0"/>
    </xf>
    <xf numFmtId="49" fontId="66" fillId="0" borderId="53" xfId="0" applyNumberFormat="1" applyFont="1" applyBorder="1"/>
    <xf numFmtId="181" fontId="66" fillId="0" borderId="40" xfId="0" applyNumberFormat="1" applyFont="1" applyBorder="1"/>
    <xf numFmtId="181" fontId="66" fillId="0" borderId="40" xfId="0" applyNumberFormat="1" applyFont="1" applyBorder="1" applyAlignment="1" applyProtection="1">
      <alignment horizontal="center"/>
    </xf>
    <xf numFmtId="181" fontId="66" fillId="0" borderId="41" xfId="0" applyNumberFormat="1" applyFont="1" applyBorder="1" applyAlignment="1" applyProtection="1">
      <alignment horizontal="center"/>
    </xf>
    <xf numFmtId="49" fontId="54" fillId="15" borderId="51" xfId="0" applyNumberFormat="1" applyFont="1" applyFill="1" applyBorder="1"/>
    <xf numFmtId="181" fontId="35" fillId="16" borderId="11" xfId="0" applyNumberFormat="1" applyFont="1" applyFill="1" applyBorder="1" applyAlignment="1">
      <alignment horizontal="center"/>
    </xf>
    <xf numFmtId="181" fontId="35" fillId="0" borderId="55" xfId="0" applyNumberFormat="1" applyFont="1" applyBorder="1"/>
    <xf numFmtId="181" fontId="35" fillId="0" borderId="45" xfId="0" applyNumberFormat="1" applyFont="1" applyBorder="1"/>
    <xf numFmtId="49" fontId="35" fillId="6" borderId="18" xfId="0" applyNumberFormat="1" applyFont="1" applyFill="1" applyBorder="1" applyProtection="1">
      <protection locked="0"/>
    </xf>
    <xf numFmtId="181" fontId="35" fillId="6" borderId="5" xfId="0" applyNumberFormat="1" applyFont="1" applyFill="1" applyBorder="1" applyProtection="1">
      <protection locked="0"/>
    </xf>
    <xf numFmtId="181" fontId="74" fillId="0" borderId="3" xfId="0" applyNumberFormat="1" applyFont="1" applyBorder="1" applyAlignment="1" applyProtection="1">
      <alignment horizontal="right"/>
    </xf>
    <xf numFmtId="181" fontId="35" fillId="0" borderId="56" xfId="0" applyNumberFormat="1" applyFont="1" applyBorder="1" applyProtection="1"/>
    <xf numFmtId="0" fontId="35" fillId="0" borderId="18" xfId="0" applyFont="1" applyBorder="1" applyProtection="1">
      <protection locked="0"/>
    </xf>
    <xf numFmtId="0" fontId="35" fillId="0" borderId="56" xfId="0" applyFont="1" applyBorder="1"/>
    <xf numFmtId="181" fontId="35" fillId="0" borderId="11" xfId="0" applyNumberFormat="1" applyFont="1" applyBorder="1" applyProtection="1"/>
    <xf numFmtId="181" fontId="35" fillId="0" borderId="13" xfId="0" applyNumberFormat="1" applyFont="1" applyBorder="1" applyProtection="1"/>
    <xf numFmtId="0" fontId="35" fillId="6" borderId="18" xfId="0" applyFont="1" applyFill="1" applyBorder="1" applyProtection="1">
      <protection locked="0"/>
    </xf>
    <xf numFmtId="181" fontId="35" fillId="6" borderId="5" xfId="0" applyNumberFormat="1" applyFont="1" applyFill="1" applyBorder="1" applyAlignment="1" applyProtection="1">
      <alignment horizontal="center"/>
      <protection locked="0"/>
    </xf>
    <xf numFmtId="0" fontId="74" fillId="0" borderId="5" xfId="0" applyFont="1" applyBorder="1"/>
    <xf numFmtId="0" fontId="35" fillId="0" borderId="10" xfId="0" applyFont="1" applyBorder="1"/>
    <xf numFmtId="0" fontId="35" fillId="0" borderId="4" xfId="0" applyFont="1" applyBorder="1"/>
    <xf numFmtId="0" fontId="35" fillId="0" borderId="36" xfId="0" applyFont="1" applyBorder="1"/>
    <xf numFmtId="181" fontId="66" fillId="0" borderId="10" xfId="0" applyNumberFormat="1" applyFont="1" applyBorder="1" applyProtection="1"/>
    <xf numFmtId="181" fontId="66" fillId="0" borderId="4" xfId="0" applyNumberFormat="1" applyFont="1" applyBorder="1" applyProtection="1"/>
    <xf numFmtId="181" fontId="66" fillId="0" borderId="16" xfId="0" applyNumberFormat="1" applyFont="1" applyBorder="1" applyProtection="1"/>
    <xf numFmtId="181" fontId="66" fillId="0" borderId="5" xfId="0" applyNumberFormat="1" applyFont="1" applyBorder="1"/>
    <xf numFmtId="181" fontId="66" fillId="0" borderId="10" xfId="0" applyNumberFormat="1" applyFont="1" applyBorder="1"/>
    <xf numFmtId="181" fontId="66" fillId="0" borderId="4" xfId="0" applyNumberFormat="1" applyFont="1" applyBorder="1"/>
    <xf numFmtId="181" fontId="66" fillId="0" borderId="36" xfId="0" applyNumberFormat="1" applyFont="1" applyBorder="1"/>
    <xf numFmtId="181" fontId="47" fillId="0" borderId="22" xfId="0" applyNumberFormat="1" applyFont="1" applyBorder="1"/>
    <xf numFmtId="181" fontId="47" fillId="0" borderId="30" xfId="0" applyNumberFormat="1" applyFont="1" applyBorder="1"/>
    <xf numFmtId="181" fontId="47" fillId="0" borderId="12" xfId="0" applyNumberFormat="1" applyFont="1" applyBorder="1"/>
    <xf numFmtId="181" fontId="47" fillId="0" borderId="57" xfId="0" applyNumberFormat="1" applyFont="1" applyBorder="1"/>
    <xf numFmtId="0" fontId="35" fillId="6" borderId="21" xfId="0" applyFont="1" applyFill="1" applyBorder="1" applyProtection="1">
      <protection locked="0"/>
    </xf>
    <xf numFmtId="181" fontId="35" fillId="6" borderId="27" xfId="0" applyNumberFormat="1" applyFont="1" applyFill="1" applyBorder="1" applyProtection="1">
      <protection locked="0"/>
    </xf>
    <xf numFmtId="181" fontId="74" fillId="0" borderId="58" xfId="0" applyNumberFormat="1" applyFont="1" applyBorder="1" applyAlignment="1" applyProtection="1">
      <alignment horizontal="right"/>
    </xf>
    <xf numFmtId="181" fontId="35" fillId="0" borderId="34" xfId="0" applyNumberFormat="1" applyFont="1" applyBorder="1" applyProtection="1"/>
    <xf numFmtId="181" fontId="35" fillId="0" borderId="59" xfId="0" applyNumberFormat="1" applyFont="1" applyBorder="1"/>
    <xf numFmtId="181" fontId="75" fillId="0" borderId="27" xfId="0" applyNumberFormat="1" applyFont="1" applyBorder="1" applyProtection="1">
      <protection locked="0"/>
    </xf>
    <xf numFmtId="181" fontId="84" fillId="0" borderId="0" xfId="0" applyNumberFormat="1" applyFont="1"/>
    <xf numFmtId="0" fontId="54" fillId="15" borderId="37" xfId="0" applyFont="1" applyFill="1" applyBorder="1"/>
    <xf numFmtId="0" fontId="35" fillId="16" borderId="22" xfId="0" applyFont="1" applyFill="1" applyBorder="1" applyAlignment="1">
      <alignment horizontal="center"/>
    </xf>
    <xf numFmtId="0" fontId="35" fillId="16" borderId="39" xfId="0" applyFont="1" applyFill="1" applyBorder="1" applyAlignment="1">
      <alignment horizontal="center"/>
    </xf>
    <xf numFmtId="0" fontId="85" fillId="5" borderId="23" xfId="0" applyFont="1" applyFill="1" applyBorder="1"/>
    <xf numFmtId="0" fontId="35" fillId="0" borderId="42" xfId="0" applyFont="1" applyBorder="1"/>
    <xf numFmtId="0" fontId="35" fillId="0" borderId="43" xfId="0" applyFont="1" applyBorder="1"/>
    <xf numFmtId="0" fontId="35" fillId="0" borderId="59" xfId="0" applyFont="1" applyBorder="1"/>
    <xf numFmtId="0" fontId="35" fillId="5" borderId="18" xfId="0" applyFont="1" applyFill="1" applyBorder="1"/>
    <xf numFmtId="0" fontId="35" fillId="0" borderId="5" xfId="0" applyFont="1" applyBorder="1"/>
    <xf numFmtId="1" fontId="35" fillId="0" borderId="5" xfId="0" applyNumberFormat="1" applyFont="1" applyBorder="1" applyAlignment="1" applyProtection="1">
      <alignment horizontal="center"/>
      <protection locked="0"/>
    </xf>
    <xf numFmtId="0" fontId="35" fillId="5" borderId="18" xfId="0" applyFont="1" applyFill="1" applyBorder="1" applyAlignment="1">
      <alignment horizontal="left" wrapText="1" readingOrder="1"/>
    </xf>
    <xf numFmtId="3" fontId="35" fillId="0" borderId="5" xfId="0" applyNumberFormat="1" applyFont="1" applyBorder="1" applyAlignment="1" applyProtection="1">
      <alignment horizontal="center"/>
      <protection locked="0"/>
    </xf>
    <xf numFmtId="0" fontId="86" fillId="0" borderId="18" xfId="0" applyFont="1" applyBorder="1" applyAlignment="1">
      <alignment horizontal="left" wrapText="1" readingOrder="1"/>
    </xf>
    <xf numFmtId="181" fontId="35" fillId="0" borderId="5" xfId="0" applyNumberFormat="1" applyFont="1" applyBorder="1" applyAlignment="1" applyProtection="1">
      <alignment horizontal="right"/>
    </xf>
    <xf numFmtId="181" fontId="35" fillId="0" borderId="26" xfId="0" applyNumberFormat="1" applyFont="1" applyBorder="1" applyAlignment="1" applyProtection="1">
      <alignment horizontal="right"/>
    </xf>
    <xf numFmtId="0" fontId="47" fillId="5" borderId="21" xfId="0" applyFont="1" applyFill="1" applyBorder="1"/>
    <xf numFmtId="182" fontId="35" fillId="0" borderId="27" xfId="0" applyNumberFormat="1" applyFont="1" applyBorder="1" applyAlignment="1" applyProtection="1">
      <alignment horizontal="center"/>
      <protection locked="0"/>
    </xf>
    <xf numFmtId="0" fontId="87" fillId="0" borderId="51" xfId="0" applyFont="1" applyBorder="1"/>
    <xf numFmtId="181" fontId="35" fillId="0" borderId="11" xfId="0" applyNumberFormat="1" applyFont="1" applyBorder="1"/>
    <xf numFmtId="181" fontId="35" fillId="0" borderId="11" xfId="0" applyNumberFormat="1" applyFont="1" applyBorder="1" applyProtection="1">
      <protection hidden="1"/>
    </xf>
    <xf numFmtId="181" fontId="35" fillId="0" borderId="46" xfId="0" applyNumberFormat="1" applyFont="1" applyBorder="1" applyProtection="1">
      <protection hidden="1"/>
    </xf>
    <xf numFmtId="181" fontId="66" fillId="0" borderId="0" xfId="0" applyNumberFormat="1" applyFont="1" applyBorder="1"/>
    <xf numFmtId="181" fontId="66" fillId="0" borderId="56" xfId="0" applyNumberFormat="1" applyFont="1" applyBorder="1"/>
    <xf numFmtId="49" fontId="47" fillId="5" borderId="23" xfId="0" applyNumberFormat="1" applyFont="1" applyFill="1" applyBorder="1"/>
    <xf numFmtId="181" fontId="74" fillId="0" borderId="24" xfId="0" applyNumberFormat="1" applyFont="1" applyBorder="1"/>
    <xf numFmtId="181" fontId="35" fillId="0" borderId="24" xfId="0" applyNumberFormat="1" applyFont="1" applyBorder="1" applyProtection="1">
      <protection locked="0"/>
    </xf>
    <xf numFmtId="0" fontId="89" fillId="0" borderId="18" xfId="0" applyFont="1" applyBorder="1"/>
    <xf numFmtId="181" fontId="89" fillId="0" borderId="5" xfId="0" applyNumberFormat="1" applyFont="1" applyBorder="1" applyAlignment="1" applyProtection="1">
      <alignment horizontal="center"/>
      <protection locked="0"/>
    </xf>
    <xf numFmtId="181" fontId="89" fillId="0" borderId="26" xfId="0" applyNumberFormat="1" applyFont="1" applyBorder="1" applyAlignment="1" applyProtection="1">
      <alignment horizontal="center"/>
      <protection locked="0"/>
    </xf>
    <xf numFmtId="0" fontId="90" fillId="0" borderId="18" xfId="0" applyFont="1" applyBorder="1" applyAlignment="1" applyProtection="1">
      <alignment vertical="center"/>
      <protection hidden="1"/>
    </xf>
    <xf numFmtId="181" fontId="74" fillId="0" borderId="5" xfId="0" applyNumberFormat="1" applyFont="1" applyBorder="1" applyProtection="1">
      <protection hidden="1"/>
    </xf>
    <xf numFmtId="181" fontId="89" fillId="0" borderId="5" xfId="0" applyNumberFormat="1" applyFont="1" applyBorder="1" applyAlignment="1" applyProtection="1">
      <alignment vertical="center"/>
      <protection hidden="1"/>
    </xf>
    <xf numFmtId="181" fontId="89" fillId="0" borderId="26" xfId="0" applyNumberFormat="1" applyFont="1" applyBorder="1" applyAlignment="1" applyProtection="1">
      <alignment vertical="center"/>
      <protection hidden="1"/>
    </xf>
    <xf numFmtId="0" fontId="78" fillId="0" borderId="18" xfId="0" applyFont="1" applyBorder="1" applyProtection="1">
      <protection hidden="1"/>
    </xf>
    <xf numFmtId="181" fontId="35" fillId="0" borderId="5" xfId="0" applyNumberFormat="1" applyFont="1" applyBorder="1" applyProtection="1">
      <protection hidden="1"/>
    </xf>
    <xf numFmtId="181" fontId="35" fillId="0" borderId="26" xfId="0" applyNumberFormat="1" applyFont="1" applyBorder="1" applyProtection="1">
      <protection hidden="1"/>
    </xf>
    <xf numFmtId="0" fontId="47" fillId="0" borderId="18" xfId="0" applyFont="1" applyBorder="1"/>
    <xf numFmtId="0" fontId="78" fillId="0" borderId="60" xfId="0" applyFont="1" applyBorder="1"/>
    <xf numFmtId="181" fontId="35" fillId="0" borderId="20" xfId="0" applyNumberFormat="1" applyFont="1" applyBorder="1"/>
    <xf numFmtId="181" fontId="35" fillId="0" borderId="20" xfId="0" applyNumberFormat="1" applyFont="1" applyBorder="1" applyProtection="1"/>
    <xf numFmtId="181" fontId="35" fillId="0" borderId="61" xfId="0" applyNumberFormat="1" applyFont="1" applyBorder="1" applyProtection="1"/>
    <xf numFmtId="181" fontId="35" fillId="6" borderId="26" xfId="0" applyNumberFormat="1" applyFont="1" applyFill="1" applyBorder="1" applyProtection="1">
      <protection locked="0"/>
    </xf>
    <xf numFmtId="0" fontId="35" fillId="5" borderId="21" xfId="0" applyFont="1" applyFill="1" applyBorder="1"/>
    <xf numFmtId="181" fontId="35" fillId="0" borderId="40" xfId="0" applyNumberFormat="1" applyFont="1" applyBorder="1"/>
    <xf numFmtId="181" fontId="35" fillId="6" borderId="28" xfId="0" applyNumberFormat="1" applyFont="1" applyFill="1" applyBorder="1" applyProtection="1">
      <protection locked="0"/>
    </xf>
    <xf numFmtId="0" fontId="35" fillId="17" borderId="51" xfId="0" applyFont="1" applyFill="1" applyBorder="1"/>
    <xf numFmtId="181" fontId="74" fillId="0" borderId="11" xfId="0" applyNumberFormat="1" applyFont="1" applyBorder="1"/>
    <xf numFmtId="181" fontId="35" fillId="0" borderId="11" xfId="0" applyNumberFormat="1" applyFont="1" applyBorder="1" applyProtection="1">
      <protection locked="0"/>
    </xf>
    <xf numFmtId="181" fontId="35" fillId="0" borderId="46" xfId="0" applyNumberFormat="1" applyFont="1" applyBorder="1" applyProtection="1">
      <protection locked="0"/>
    </xf>
    <xf numFmtId="0" fontId="35" fillId="0" borderId="21" xfId="0" applyFont="1" applyBorder="1"/>
    <xf numFmtId="181" fontId="35" fillId="0" borderId="27" xfId="0" applyNumberFormat="1" applyFont="1" applyBorder="1" applyProtection="1">
      <protection locked="0"/>
    </xf>
    <xf numFmtId="181" fontId="35" fillId="0" borderId="28" xfId="0" applyNumberFormat="1" applyFont="1" applyBorder="1" applyProtection="1">
      <protection locked="0"/>
    </xf>
    <xf numFmtId="0" fontId="35" fillId="11" borderId="23" xfId="0" applyFont="1" applyFill="1" applyBorder="1"/>
    <xf numFmtId="181" fontId="35" fillId="0" borderId="24" xfId="0" applyNumberFormat="1" applyFont="1" applyBorder="1"/>
    <xf numFmtId="0" fontId="35" fillId="0" borderId="18" xfId="0" applyFont="1" applyBorder="1"/>
    <xf numFmtId="181" fontId="35" fillId="0" borderId="5" xfId="0" applyNumberFormat="1" applyFont="1" applyBorder="1" applyAlignment="1" applyProtection="1">
      <alignment horizontal="right"/>
      <protection locked="0"/>
    </xf>
    <xf numFmtId="181" fontId="35" fillId="0" borderId="26" xfId="0" applyNumberFormat="1" applyFont="1" applyBorder="1" applyAlignment="1" applyProtection="1">
      <alignment horizontal="right"/>
      <protection locked="0"/>
    </xf>
    <xf numFmtId="0" fontId="91" fillId="0" borderId="21" xfId="0" applyFont="1" applyBorder="1"/>
    <xf numFmtId="0" fontId="35" fillId="0" borderId="21" xfId="0" applyFont="1" applyBorder="1" applyAlignment="1">
      <alignment wrapText="1"/>
    </xf>
    <xf numFmtId="181" fontId="87" fillId="0" borderId="48" xfId="0" applyNumberFormat="1" applyFont="1" applyBorder="1" applyAlignment="1" applyProtection="1">
      <alignment horizontal="left"/>
      <protection hidden="1"/>
    </xf>
    <xf numFmtId="181" fontId="35" fillId="0" borderId="44" xfId="0" applyNumberFormat="1" applyFont="1" applyBorder="1" applyAlignment="1" applyProtection="1">
      <alignment horizontal="right"/>
      <protection hidden="1"/>
    </xf>
    <xf numFmtId="181" fontId="35" fillId="0" borderId="44" xfId="0" applyNumberFormat="1" applyFont="1" applyBorder="1" applyProtection="1"/>
    <xf numFmtId="181" fontId="35" fillId="0" borderId="45" xfId="0" applyNumberFormat="1" applyFont="1" applyBorder="1" applyProtection="1"/>
    <xf numFmtId="181" fontId="35" fillId="0" borderId="50" xfId="0" applyNumberFormat="1" applyFont="1" applyBorder="1" applyAlignment="1" applyProtection="1">
      <alignment horizontal="right"/>
      <protection hidden="1"/>
    </xf>
    <xf numFmtId="181" fontId="35" fillId="0" borderId="0" xfId="0" applyNumberFormat="1" applyFont="1" applyBorder="1" applyAlignment="1" applyProtection="1">
      <alignment horizontal="right"/>
      <protection hidden="1"/>
    </xf>
    <xf numFmtId="181" fontId="35" fillId="0" borderId="56" xfId="0" applyNumberFormat="1" applyFont="1" applyBorder="1" applyAlignment="1" applyProtection="1">
      <alignment horizontal="right"/>
      <protection hidden="1"/>
    </xf>
    <xf numFmtId="181" fontId="35" fillId="18" borderId="0" xfId="0" applyNumberFormat="1" applyFont="1" applyFill="1" applyBorder="1" applyAlignment="1" applyProtection="1">
      <alignment horizontal="right"/>
      <protection hidden="1"/>
    </xf>
    <xf numFmtId="0" fontId="87" fillId="0" borderId="50" xfId="0" applyFont="1" applyBorder="1"/>
    <xf numFmtId="181" fontId="66" fillId="0" borderId="0" xfId="0" applyNumberFormat="1" applyFont="1" applyBorder="1" applyProtection="1"/>
    <xf numFmtId="181" fontId="66" fillId="0" borderId="56" xfId="0" applyNumberFormat="1" applyFont="1" applyBorder="1" applyProtection="1"/>
    <xf numFmtId="181" fontId="66" fillId="2" borderId="0" xfId="0" applyNumberFormat="1" applyFont="1" applyFill="1" applyBorder="1"/>
    <xf numFmtId="181" fontId="66" fillId="2" borderId="56" xfId="0" applyNumberFormat="1" applyFont="1" applyFill="1" applyBorder="1"/>
    <xf numFmtId="0" fontId="87" fillId="0" borderId="50" xfId="0" applyFont="1" applyBorder="1"/>
    <xf numFmtId="181" fontId="66" fillId="0" borderId="0" xfId="0" applyNumberFormat="1" applyFont="1" applyBorder="1" applyProtection="1"/>
    <xf numFmtId="181" fontId="66" fillId="0" borderId="56" xfId="0" applyNumberFormat="1" applyFont="1" applyBorder="1" applyProtection="1"/>
    <xf numFmtId="0" fontId="70" fillId="0" borderId="0" xfId="0" applyFont="1"/>
    <xf numFmtId="181" fontId="35" fillId="2" borderId="0" xfId="0" applyNumberFormat="1" applyFont="1" applyFill="1" applyBorder="1" applyAlignment="1" applyProtection="1">
      <alignment horizontal="right"/>
      <protection hidden="1"/>
    </xf>
    <xf numFmtId="181" fontId="35" fillId="2" borderId="56" xfId="0" applyNumberFormat="1" applyFont="1" applyFill="1" applyBorder="1" applyAlignment="1" applyProtection="1">
      <alignment horizontal="right"/>
      <protection hidden="1"/>
    </xf>
    <xf numFmtId="181" fontId="35" fillId="19" borderId="0" xfId="0" applyNumberFormat="1" applyFont="1" applyFill="1" applyBorder="1" applyAlignment="1" applyProtection="1">
      <alignment horizontal="right"/>
      <protection hidden="1"/>
    </xf>
    <xf numFmtId="181" fontId="35" fillId="0" borderId="32" xfId="0" applyNumberFormat="1" applyFont="1" applyBorder="1" applyAlignment="1" applyProtection="1">
      <alignment horizontal="right"/>
      <protection hidden="1"/>
    </xf>
    <xf numFmtId="181" fontId="35" fillId="0" borderId="33" xfId="0" applyNumberFormat="1" applyFont="1" applyBorder="1" applyAlignment="1" applyProtection="1">
      <alignment horizontal="right"/>
      <protection hidden="1"/>
    </xf>
    <xf numFmtId="181" fontId="35" fillId="0" borderId="33" xfId="0" applyNumberFormat="1" applyFont="1" applyBorder="1"/>
    <xf numFmtId="181" fontId="35" fillId="0" borderId="34" xfId="0" applyNumberFormat="1" applyFont="1" applyBorder="1"/>
    <xf numFmtId="0" fontId="35" fillId="20" borderId="23" xfId="0" applyFont="1" applyFill="1" applyBorder="1"/>
    <xf numFmtId="1" fontId="35" fillId="0" borderId="26" xfId="0" applyNumberFormat="1" applyFont="1" applyBorder="1" applyAlignment="1" applyProtection="1">
      <alignment horizontal="center"/>
      <protection locked="0"/>
    </xf>
    <xf numFmtId="0" fontId="90" fillId="0" borderId="21" xfId="0" applyFont="1" applyBorder="1" applyAlignment="1" applyProtection="1">
      <alignment vertical="center"/>
      <protection hidden="1"/>
    </xf>
    <xf numFmtId="181" fontId="74" fillId="0" borderId="27" xfId="0" applyNumberFormat="1" applyFont="1" applyBorder="1"/>
    <xf numFmtId="181" fontId="89" fillId="0" borderId="27" xfId="0" applyNumberFormat="1" applyFont="1" applyBorder="1" applyAlignment="1" applyProtection="1">
      <alignment vertical="center"/>
      <protection hidden="1"/>
    </xf>
    <xf numFmtId="181" fontId="89" fillId="0" borderId="27" xfId="0" applyNumberFormat="1" applyFont="1" applyBorder="1" applyAlignment="1" applyProtection="1">
      <alignment vertical="center"/>
    </xf>
    <xf numFmtId="0" fontId="90" fillId="0" borderId="60" xfId="0" applyFont="1" applyBorder="1" applyAlignment="1" applyProtection="1">
      <alignment vertical="center"/>
      <protection hidden="1"/>
    </xf>
    <xf numFmtId="181" fontId="74" fillId="0" borderId="20" xfId="0" applyNumberFormat="1" applyFont="1" applyBorder="1"/>
    <xf numFmtId="181" fontId="89" fillId="0" borderId="20" xfId="0" applyNumberFormat="1" applyFont="1" applyBorder="1" applyAlignment="1" applyProtection="1">
      <alignment vertical="center"/>
      <protection hidden="1"/>
    </xf>
    <xf numFmtId="0" fontId="78" fillId="4" borderId="60" xfId="0" applyFont="1" applyFill="1" applyBorder="1" applyProtection="1">
      <protection hidden="1"/>
    </xf>
    <xf numFmtId="0" fontId="35" fillId="19" borderId="50" xfId="0" applyFont="1" applyFill="1" applyBorder="1"/>
    <xf numFmtId="181" fontId="35" fillId="19" borderId="0" xfId="0" applyNumberFormat="1" applyFont="1" applyFill="1" applyBorder="1"/>
    <xf numFmtId="181" fontId="66" fillId="19" borderId="0" xfId="0" applyNumberFormat="1" applyFont="1" applyFill="1" applyBorder="1"/>
    <xf numFmtId="181" fontId="66" fillId="19" borderId="56" xfId="0" applyNumberFormat="1" applyFont="1" applyFill="1" applyBorder="1"/>
    <xf numFmtId="0" fontId="92" fillId="21" borderId="23" xfId="0" applyFont="1" applyFill="1" applyBorder="1"/>
    <xf numFmtId="181" fontId="35" fillId="0" borderId="55" xfId="0" applyNumberFormat="1" applyFont="1" applyBorder="1" applyProtection="1"/>
    <xf numFmtId="0" fontId="35" fillId="0" borderId="18" xfId="0" applyFont="1" applyBorder="1" applyAlignment="1"/>
    <xf numFmtId="181" fontId="35" fillId="0" borderId="3" xfId="0" applyNumberFormat="1" applyFont="1" applyBorder="1" applyProtection="1"/>
    <xf numFmtId="181" fontId="35" fillId="0" borderId="58" xfId="0" applyNumberFormat="1" applyFont="1" applyBorder="1" applyProtection="1"/>
    <xf numFmtId="0" fontId="35" fillId="0" borderId="60" xfId="0" applyFont="1" applyBorder="1"/>
    <xf numFmtId="181" fontId="35" fillId="0" borderId="20" xfId="0" applyNumberFormat="1" applyFont="1" applyBorder="1" applyAlignment="1" applyProtection="1">
      <alignment horizontal="center"/>
      <protection locked="0"/>
    </xf>
    <xf numFmtId="181" fontId="35" fillId="0" borderId="61" xfId="0" applyNumberFormat="1" applyFont="1" applyBorder="1" applyAlignment="1" applyProtection="1">
      <alignment horizontal="center"/>
      <protection locked="0"/>
    </xf>
    <xf numFmtId="0" fontId="92" fillId="6" borderId="23" xfId="0" applyFont="1" applyFill="1" applyBorder="1" applyProtection="1">
      <protection locked="0"/>
    </xf>
    <xf numFmtId="182" fontId="35" fillId="0" borderId="5" xfId="0" applyNumberFormat="1" applyFont="1" applyBorder="1" applyAlignment="1" applyProtection="1">
      <alignment horizontal="center"/>
      <protection locked="0"/>
    </xf>
    <xf numFmtId="181" fontId="35" fillId="0" borderId="20" xfId="0" applyNumberFormat="1" applyFont="1" applyBorder="1" applyProtection="1">
      <protection locked="0"/>
    </xf>
    <xf numFmtId="181" fontId="35" fillId="0" borderId="61" xfId="0" applyNumberFormat="1" applyFont="1" applyBorder="1" applyProtection="1">
      <protection locked="0"/>
    </xf>
    <xf numFmtId="181" fontId="35" fillId="0" borderId="58" xfId="0" applyNumberFormat="1" applyFont="1" applyBorder="1" applyProtection="1">
      <protection locked="0"/>
    </xf>
    <xf numFmtId="181" fontId="35" fillId="0" borderId="33" xfId="0" applyNumberFormat="1" applyFont="1" applyBorder="1" applyProtection="1">
      <protection locked="0"/>
    </xf>
    <xf numFmtId="181" fontId="35" fillId="0" borderId="34" xfId="0" applyNumberFormat="1" applyFont="1" applyBorder="1" applyProtection="1">
      <protection locked="0"/>
    </xf>
    <xf numFmtId="0" fontId="35" fillId="0" borderId="51" xfId="0" applyFont="1" applyBorder="1"/>
    <xf numFmtId="0" fontId="47" fillId="0" borderId="23" xfId="0" applyFont="1" applyBorder="1"/>
    <xf numFmtId="176" fontId="35" fillId="0" borderId="24" xfId="0" applyNumberFormat="1" applyFont="1" applyBorder="1" applyAlignment="1">
      <alignment horizontal="center"/>
    </xf>
    <xf numFmtId="181" fontId="35" fillId="0" borderId="24" xfId="0" applyNumberFormat="1" applyFont="1" applyBorder="1" applyProtection="1">
      <protection locked="0" hidden="1"/>
    </xf>
    <xf numFmtId="181" fontId="35" fillId="0" borderId="25" xfId="0" applyNumberFormat="1" applyFont="1" applyBorder="1" applyProtection="1">
      <protection locked="0" hidden="1"/>
    </xf>
    <xf numFmtId="0" fontId="35" fillId="0" borderId="60" xfId="0" applyFont="1" applyBorder="1" applyProtection="1"/>
    <xf numFmtId="181" fontId="35" fillId="0" borderId="22" xfId="0" applyNumberFormat="1" applyFont="1" applyBorder="1"/>
    <xf numFmtId="181" fontId="35" fillId="0" borderId="22" xfId="0" applyNumberFormat="1" applyFont="1" applyBorder="1" applyProtection="1">
      <protection locked="0"/>
    </xf>
    <xf numFmtId="3" fontId="94" fillId="0" borderId="16" xfId="0" applyNumberFormat="1" applyFont="1" applyBorder="1" applyAlignment="1" applyProtection="1">
      <alignment horizontal="center"/>
    </xf>
    <xf numFmtId="181" fontId="35" fillId="0" borderId="5" xfId="0" applyNumberFormat="1" applyFont="1" applyBorder="1" applyProtection="1">
      <protection locked="0" hidden="1"/>
    </xf>
    <xf numFmtId="181" fontId="35" fillId="0" borderId="26" xfId="0" applyNumberFormat="1" applyFont="1" applyBorder="1" applyProtection="1">
      <protection locked="0" hidden="1"/>
    </xf>
    <xf numFmtId="0" fontId="35" fillId="6" borderId="51" xfId="0" applyFont="1" applyFill="1" applyBorder="1" applyProtection="1">
      <protection locked="0"/>
    </xf>
    <xf numFmtId="181" fontId="35" fillId="0" borderId="36" xfId="0" applyNumberFormat="1" applyFont="1" applyBorder="1" applyProtection="1"/>
    <xf numFmtId="0" fontId="35" fillId="0" borderId="60" xfId="0" applyFont="1" applyBorder="1" applyProtection="1">
      <protection locked="0"/>
    </xf>
    <xf numFmtId="0" fontId="47" fillId="0" borderId="37" xfId="0" applyFont="1" applyBorder="1" applyProtection="1"/>
    <xf numFmtId="0" fontId="54" fillId="15" borderId="23" xfId="0" applyFont="1" applyFill="1" applyBorder="1" applyProtection="1"/>
    <xf numFmtId="181" fontId="35" fillId="16" borderId="24" xfId="0" applyNumberFormat="1" applyFont="1" applyFill="1" applyBorder="1" applyAlignment="1" applyProtection="1">
      <alignment horizontal="center"/>
    </xf>
    <xf numFmtId="181" fontId="35" fillId="16" borderId="25" xfId="0" applyNumberFormat="1" applyFont="1" applyFill="1" applyBorder="1" applyAlignment="1" applyProtection="1">
      <alignment horizontal="center"/>
    </xf>
    <xf numFmtId="181" fontId="35" fillId="0" borderId="27" xfId="0" applyNumberFormat="1" applyFont="1" applyBorder="1" applyProtection="1">
      <protection locked="0" hidden="1"/>
    </xf>
    <xf numFmtId="0" fontId="96" fillId="0" borderId="51" xfId="0" applyFont="1" applyBorder="1" applyProtection="1"/>
    <xf numFmtId="181" fontId="97" fillId="0" borderId="20" xfId="0" applyNumberFormat="1" applyFont="1" applyBorder="1"/>
    <xf numFmtId="181" fontId="97" fillId="22" borderId="8" xfId="0" applyNumberFormat="1" applyFont="1" applyFill="1" applyBorder="1" applyProtection="1"/>
    <xf numFmtId="181" fontId="97" fillId="22" borderId="13" xfId="0" applyNumberFormat="1" applyFont="1" applyFill="1" applyBorder="1" applyProtection="1"/>
    <xf numFmtId="181" fontId="97" fillId="22" borderId="0" xfId="0" applyNumberFormat="1" applyFont="1" applyFill="1" applyBorder="1" applyProtection="1"/>
    <xf numFmtId="181" fontId="97" fillId="22" borderId="62" xfId="0" applyNumberFormat="1" applyFont="1" applyFill="1" applyBorder="1" applyProtection="1"/>
    <xf numFmtId="0" fontId="96" fillId="23" borderId="23" xfId="0" applyFont="1" applyFill="1" applyBorder="1" applyProtection="1"/>
    <xf numFmtId="176" fontId="35" fillId="0" borderId="42" xfId="0" applyNumberFormat="1" applyFont="1" applyBorder="1" applyAlignment="1" applyProtection="1">
      <alignment horizontal="center"/>
    </xf>
    <xf numFmtId="181" fontId="35" fillId="0" borderId="42" xfId="0" applyNumberFormat="1" applyFont="1" applyBorder="1" applyAlignment="1" applyProtection="1">
      <alignment horizontal="center"/>
    </xf>
    <xf numFmtId="0" fontId="35" fillId="23" borderId="51" xfId="0" applyFont="1" applyFill="1" applyBorder="1" applyProtection="1"/>
    <xf numFmtId="3" fontId="74" fillId="0" borderId="11" xfId="0" applyNumberFormat="1" applyFont="1" applyBorder="1" applyAlignment="1">
      <alignment horizontal="center"/>
    </xf>
    <xf numFmtId="181" fontId="75" fillId="0" borderId="3" xfId="0" applyNumberFormat="1" applyFont="1" applyBorder="1" applyProtection="1"/>
    <xf numFmtId="176" fontId="35" fillId="0" borderId="5" xfId="0" applyNumberFormat="1" applyFont="1" applyBorder="1" applyAlignment="1" applyProtection="1">
      <alignment horizontal="center"/>
      <protection locked="0"/>
    </xf>
    <xf numFmtId="165" fontId="35" fillId="0" borderId="5" xfId="1" applyFont="1" applyBorder="1" applyAlignment="1" applyProtection="1">
      <alignment horizontal="center"/>
      <protection locked="0"/>
    </xf>
    <xf numFmtId="3" fontId="35" fillId="0" borderId="8" xfId="0" applyNumberFormat="1" applyFont="1" applyBorder="1" applyAlignment="1" applyProtection="1">
      <alignment horizontal="center"/>
    </xf>
    <xf numFmtId="181" fontId="35" fillId="0" borderId="20" xfId="0" applyNumberFormat="1" applyFont="1" applyBorder="1" applyProtection="1">
      <protection hidden="1"/>
    </xf>
    <xf numFmtId="181" fontId="35" fillId="0" borderId="61" xfId="0" applyNumberFormat="1" applyFont="1" applyBorder="1" applyProtection="1">
      <protection hidden="1"/>
    </xf>
    <xf numFmtId="181" fontId="35" fillId="0" borderId="0" xfId="0" applyNumberFormat="1" applyFont="1" applyBorder="1"/>
    <xf numFmtId="181" fontId="35" fillId="0" borderId="0" xfId="0" applyNumberFormat="1" applyFont="1" applyBorder="1" applyProtection="1">
      <protection hidden="1"/>
    </xf>
    <xf numFmtId="181" fontId="35" fillId="0" borderId="56" xfId="0" applyNumberFormat="1" applyFont="1" applyBorder="1" applyProtection="1">
      <protection hidden="1"/>
    </xf>
    <xf numFmtId="0" fontId="47" fillId="18" borderId="51" xfId="0" applyFont="1" applyFill="1" applyBorder="1"/>
    <xf numFmtId="181" fontId="35" fillId="18" borderId="11" xfId="0" applyNumberFormat="1" applyFont="1" applyFill="1" applyBorder="1"/>
    <xf numFmtId="181" fontId="35" fillId="18" borderId="11" xfId="0" applyNumberFormat="1" applyFont="1" applyFill="1" applyBorder="1" applyProtection="1"/>
    <xf numFmtId="181" fontId="35" fillId="18" borderId="46" xfId="0" applyNumberFormat="1" applyFont="1" applyFill="1" applyBorder="1" applyProtection="1"/>
    <xf numFmtId="0" fontId="47" fillId="0" borderId="51" xfId="0" applyFont="1" applyBorder="1"/>
    <xf numFmtId="0" fontId="35" fillId="6" borderId="18" xfId="0" applyFont="1" applyFill="1" applyBorder="1" applyAlignment="1" applyProtection="1">
      <alignment wrapText="1"/>
      <protection locked="0"/>
    </xf>
    <xf numFmtId="0" fontId="35" fillId="0" borderId="37" xfId="0" applyFont="1" applyBorder="1"/>
    <xf numFmtId="181" fontId="35" fillId="0" borderId="63" xfId="0" applyNumberFormat="1" applyFont="1" applyBorder="1" applyProtection="1"/>
    <xf numFmtId="181" fontId="35" fillId="0" borderId="64" xfId="0" applyNumberFormat="1" applyFont="1" applyBorder="1" applyProtection="1"/>
    <xf numFmtId="0" fontId="98" fillId="15" borderId="65" xfId="0" applyFont="1" applyFill="1" applyBorder="1" applyProtection="1"/>
    <xf numFmtId="181" fontId="35" fillId="24" borderId="66" xfId="0" applyNumberFormat="1" applyFont="1" applyFill="1" applyBorder="1" applyAlignment="1" applyProtection="1">
      <alignment horizontal="center"/>
    </xf>
    <xf numFmtId="181" fontId="35" fillId="24" borderId="67" xfId="0" applyNumberFormat="1" applyFont="1" applyFill="1" applyBorder="1" applyAlignment="1" applyProtection="1">
      <alignment horizontal="center"/>
    </xf>
    <xf numFmtId="0" fontId="35" fillId="0" borderId="23" xfId="0" applyFont="1" applyBorder="1"/>
    <xf numFmtId="0" fontId="66" fillId="0" borderId="24" xfId="0" applyFont="1" applyBorder="1"/>
    <xf numFmtId="3" fontId="35" fillId="0" borderId="24" xfId="0" applyNumberFormat="1" applyFont="1" applyBorder="1" applyAlignment="1" applyProtection="1">
      <alignment horizontal="center"/>
      <protection locked="0"/>
    </xf>
    <xf numFmtId="3" fontId="35" fillId="0" borderId="25" xfId="0" applyNumberFormat="1" applyFont="1" applyBorder="1" applyAlignment="1" applyProtection="1">
      <alignment horizontal="center"/>
      <protection locked="0"/>
    </xf>
    <xf numFmtId="0" fontId="66" fillId="0" borderId="5" xfId="0" applyFont="1" applyBorder="1"/>
    <xf numFmtId="181" fontId="35" fillId="0" borderId="20" xfId="0" applyNumberFormat="1" applyFont="1" applyBorder="1" applyAlignment="1" applyProtection="1">
      <alignment horizontal="right"/>
      <protection locked="0"/>
    </xf>
    <xf numFmtId="181" fontId="35" fillId="0" borderId="0" xfId="0" applyNumberFormat="1" applyFont="1" applyBorder="1" applyProtection="1">
      <protection locked="0"/>
    </xf>
    <xf numFmtId="181" fontId="35" fillId="0" borderId="56" xfId="0" applyNumberFormat="1" applyFont="1" applyBorder="1" applyProtection="1">
      <protection locked="0"/>
    </xf>
    <xf numFmtId="181" fontId="35" fillId="0" borderId="61" xfId="0" applyNumberFormat="1" applyFont="1" applyBorder="1" applyAlignment="1" applyProtection="1">
      <alignment horizontal="right"/>
      <protection locked="0"/>
    </xf>
    <xf numFmtId="181" fontId="35" fillId="0" borderId="40" xfId="0" applyNumberFormat="1" applyFont="1" applyBorder="1" applyAlignment="1" applyProtection="1">
      <alignment horizontal="center"/>
      <protection locked="0"/>
    </xf>
    <xf numFmtId="181" fontId="35" fillId="0" borderId="58" xfId="0" applyNumberFormat="1" applyFont="1" applyBorder="1" applyAlignment="1" applyProtection="1">
      <alignment horizontal="center"/>
    </xf>
    <xf numFmtId="181" fontId="35" fillId="0" borderId="33" xfId="0" applyNumberFormat="1" applyFont="1" applyBorder="1" applyAlignment="1" applyProtection="1">
      <alignment horizontal="center"/>
    </xf>
    <xf numFmtId="181" fontId="35" fillId="0" borderId="34" xfId="0" applyNumberFormat="1" applyFont="1" applyBorder="1" applyAlignment="1" applyProtection="1">
      <alignment horizontal="center"/>
    </xf>
    <xf numFmtId="0" fontId="35" fillId="0" borderId="68" xfId="0" applyFont="1" applyBorder="1"/>
    <xf numFmtId="0" fontId="99" fillId="22" borderId="66" xfId="0" applyFont="1" applyFill="1" applyBorder="1"/>
    <xf numFmtId="181" fontId="35" fillId="0" borderId="24" xfId="0" applyNumberFormat="1" applyFont="1" applyBorder="1" applyAlignment="1" applyProtection="1">
      <alignment horizontal="right"/>
      <protection locked="0"/>
    </xf>
    <xf numFmtId="181" fontId="35" fillId="0" borderId="25" xfId="0" applyNumberFormat="1" applyFont="1" applyBorder="1" applyAlignment="1" applyProtection="1">
      <alignment horizontal="right"/>
      <protection locked="0"/>
    </xf>
    <xf numFmtId="3" fontId="99" fillId="22" borderId="40" xfId="0" applyNumberFormat="1" applyFont="1" applyFill="1" applyBorder="1" applyAlignment="1">
      <alignment horizontal="center"/>
    </xf>
    <xf numFmtId="181" fontId="35" fillId="0" borderId="27" xfId="0" applyNumberFormat="1" applyFont="1" applyBorder="1" applyAlignment="1" applyProtection="1">
      <alignment horizontal="right"/>
      <protection locked="0"/>
    </xf>
    <xf numFmtId="181" fontId="35" fillId="0" borderId="28" xfId="0" applyNumberFormat="1" applyFont="1" applyBorder="1" applyAlignment="1" applyProtection="1">
      <alignment horizontal="right"/>
      <protection locked="0"/>
    </xf>
    <xf numFmtId="0" fontId="35" fillId="0" borderId="48" xfId="0" applyFont="1" applyBorder="1"/>
    <xf numFmtId="0" fontId="74" fillId="0" borderId="66" xfId="0" applyFont="1" applyBorder="1" applyAlignment="1" applyProtection="1">
      <alignment horizontal="center"/>
      <protection locked="0"/>
    </xf>
    <xf numFmtId="181" fontId="35" fillId="0" borderId="44" xfId="0" applyNumberFormat="1" applyFont="1" applyBorder="1" applyAlignment="1" applyProtection="1">
      <alignment horizontal="center"/>
    </xf>
    <xf numFmtId="181" fontId="35" fillId="0" borderId="45" xfId="0" applyNumberFormat="1" applyFont="1" applyBorder="1" applyAlignment="1" applyProtection="1">
      <alignment horizontal="center"/>
    </xf>
    <xf numFmtId="0" fontId="35" fillId="25" borderId="18" xfId="0" applyFont="1" applyFill="1" applyBorder="1"/>
    <xf numFmtId="0" fontId="66" fillId="25" borderId="5" xfId="0" applyFont="1" applyFill="1" applyBorder="1"/>
    <xf numFmtId="181" fontId="35" fillId="25" borderId="5" xfId="0" applyNumberFormat="1" applyFont="1" applyFill="1" applyBorder="1" applyAlignment="1" applyProtection="1">
      <alignment horizontal="center"/>
    </xf>
    <xf numFmtId="181" fontId="35" fillId="0" borderId="0" xfId="0" applyNumberFormat="1" applyFont="1" applyBorder="1" applyAlignment="1" applyProtection="1">
      <alignment horizontal="center"/>
    </xf>
    <xf numFmtId="181" fontId="35" fillId="0" borderId="56" xfId="0" applyNumberFormat="1" applyFont="1" applyBorder="1" applyAlignment="1" applyProtection="1">
      <alignment horizontal="center"/>
    </xf>
    <xf numFmtId="167" fontId="35" fillId="6" borderId="27" xfId="0" applyNumberFormat="1" applyFont="1" applyFill="1" applyBorder="1" applyAlignment="1" applyProtection="1">
      <alignment horizontal="center"/>
      <protection locked="0"/>
    </xf>
    <xf numFmtId="167" fontId="35" fillId="0" borderId="27" xfId="0" applyNumberFormat="1" applyFont="1" applyBorder="1" applyAlignment="1" applyProtection="1">
      <alignment horizontal="center"/>
      <protection hidden="1"/>
    </xf>
    <xf numFmtId="1" fontId="35" fillId="0" borderId="27" xfId="0" applyNumberFormat="1" applyFont="1" applyBorder="1" applyAlignment="1" applyProtection="1">
      <alignment horizontal="center"/>
    </xf>
    <xf numFmtId="181" fontId="47" fillId="0" borderId="27" xfId="0" applyNumberFormat="1" applyFont="1" applyBorder="1" applyAlignment="1" applyProtection="1">
      <alignment horizontal="right"/>
    </xf>
    <xf numFmtId="0" fontId="87" fillId="0" borderId="50" xfId="0" applyFont="1" applyBorder="1" applyProtection="1"/>
    <xf numFmtId="181" fontId="87" fillId="0" borderId="0" xfId="0" applyNumberFormat="1" applyFont="1" applyBorder="1" applyProtection="1">
      <protection hidden="1"/>
    </xf>
    <xf numFmtId="0" fontId="66" fillId="0" borderId="50" xfId="0" applyFont="1" applyBorder="1" applyProtection="1"/>
    <xf numFmtId="0" fontId="66" fillId="0" borderId="0" xfId="0" applyFont="1" applyBorder="1" applyProtection="1"/>
    <xf numFmtId="0" fontId="66" fillId="0" borderId="56" xfId="0" applyFont="1" applyBorder="1" applyProtection="1"/>
    <xf numFmtId="181" fontId="100" fillId="0" borderId="0" xfId="0" applyNumberFormat="1" applyFont="1" applyBorder="1" applyAlignment="1" applyProtection="1">
      <alignment horizontal="center"/>
      <protection hidden="1"/>
    </xf>
    <xf numFmtId="0" fontId="47" fillId="10" borderId="38" xfId="0" applyFont="1" applyFill="1" applyBorder="1" applyAlignment="1" applyProtection="1">
      <alignment vertical="center"/>
    </xf>
    <xf numFmtId="0" fontId="104" fillId="10" borderId="69" xfId="0" applyFont="1" applyFill="1" applyBorder="1" applyAlignment="1"/>
    <xf numFmtId="181" fontId="78" fillId="0" borderId="0" xfId="0" applyNumberFormat="1" applyFont="1" applyBorder="1" applyAlignment="1" applyProtection="1">
      <alignment horizontal="center"/>
    </xf>
    <xf numFmtId="0" fontId="0" fillId="0" borderId="0" xfId="0" applyBorder="1" applyAlignment="1"/>
    <xf numFmtId="0" fontId="0" fillId="0" borderId="56" xfId="0" applyBorder="1" applyAlignment="1"/>
    <xf numFmtId="179" fontId="105" fillId="0" borderId="0" xfId="0" applyNumberFormat="1" applyFont="1" applyBorder="1" applyAlignment="1" applyProtection="1">
      <alignment horizontal="center"/>
    </xf>
    <xf numFmtId="0" fontId="24" fillId="0" borderId="50" xfId="0" applyFont="1" applyBorder="1" applyProtection="1"/>
    <xf numFmtId="0" fontId="106" fillId="0" borderId="0" xfId="0" applyFont="1" applyBorder="1" applyProtection="1"/>
    <xf numFmtId="0" fontId="106" fillId="0" borderId="56" xfId="0" applyFont="1" applyBorder="1" applyProtection="1"/>
    <xf numFmtId="0" fontId="24" fillId="0" borderId="32" xfId="0" applyFont="1" applyBorder="1" applyProtection="1"/>
    <xf numFmtId="179" fontId="107" fillId="0" borderId="33" xfId="0" applyNumberFormat="1" applyFont="1" applyBorder="1" applyAlignment="1" applyProtection="1">
      <alignment horizontal="center"/>
    </xf>
    <xf numFmtId="0" fontId="106" fillId="0" borderId="33" xfId="0" applyFont="1" applyBorder="1" applyProtection="1"/>
    <xf numFmtId="0" fontId="106" fillId="0" borderId="34" xfId="0" applyFont="1" applyBorder="1" applyProtection="1"/>
    <xf numFmtId="0" fontId="109" fillId="22" borderId="4" xfId="0" applyFont="1" applyFill="1" applyBorder="1" applyAlignment="1">
      <alignment horizontal="center" vertical="center"/>
    </xf>
    <xf numFmtId="0" fontId="0" fillId="22" borderId="0" xfId="0" applyFill="1" applyBorder="1" applyAlignment="1">
      <alignment horizontal="center" vertical="center"/>
    </xf>
    <xf numFmtId="0" fontId="0" fillId="22" borderId="70" xfId="0" applyFill="1" applyBorder="1" applyAlignment="1">
      <alignment horizontal="center" vertical="center"/>
    </xf>
    <xf numFmtId="0" fontId="0" fillId="0" borderId="0" xfId="0" applyBorder="1"/>
    <xf numFmtId="0" fontId="110" fillId="0" borderId="51" xfId="0" applyFont="1" applyBorder="1" applyAlignment="1">
      <alignment horizontal="left" vertical="center"/>
    </xf>
    <xf numFmtId="181" fontId="35" fillId="16" borderId="5" xfId="0" applyNumberFormat="1" applyFont="1" applyFill="1" applyBorder="1" applyAlignment="1" applyProtection="1">
      <alignment horizontal="center"/>
    </xf>
    <xf numFmtId="181" fontId="35" fillId="16" borderId="26" xfId="0" applyNumberFormat="1" applyFont="1" applyFill="1" applyBorder="1" applyAlignment="1" applyProtection="1">
      <alignment horizontal="center"/>
    </xf>
    <xf numFmtId="0" fontId="35" fillId="26" borderId="18" xfId="0" applyFont="1" applyFill="1" applyBorder="1" applyProtection="1"/>
    <xf numFmtId="3" fontId="74" fillId="0" borderId="3" xfId="0" applyNumberFormat="1" applyFont="1" applyBorder="1" applyAlignment="1" applyProtection="1">
      <alignment horizontal="center"/>
    </xf>
    <xf numFmtId="0" fontId="7" fillId="0" borderId="0" xfId="0" applyFont="1" applyBorder="1"/>
    <xf numFmtId="0" fontId="35" fillId="0" borderId="0" xfId="3" applyFont="1" applyBorder="1" applyAlignment="1" applyProtection="1">
      <alignment horizontal="right"/>
    </xf>
    <xf numFmtId="3" fontId="47" fillId="6" borderId="0" xfId="0" applyNumberFormat="1" applyFont="1" applyFill="1" applyBorder="1" applyAlignment="1" applyProtection="1">
      <alignment horizontal="center"/>
      <protection locked="0"/>
    </xf>
    <xf numFmtId="179" fontId="47" fillId="6" borderId="11" xfId="0" applyNumberFormat="1" applyFont="1" applyFill="1" applyBorder="1" applyAlignment="1" applyProtection="1">
      <alignment horizontal="center"/>
      <protection locked="0"/>
    </xf>
    <xf numFmtId="0" fontId="35" fillId="0" borderId="0" xfId="0" applyFont="1" applyBorder="1" applyProtection="1"/>
    <xf numFmtId="181" fontId="35" fillId="0" borderId="5" xfId="0" applyNumberFormat="1" applyFont="1" applyBorder="1" applyAlignment="1" applyProtection="1">
      <alignment horizontal="right"/>
      <protection locked="0"/>
    </xf>
    <xf numFmtId="0" fontId="35" fillId="0" borderId="56" xfId="0" applyFont="1" applyBorder="1" applyProtection="1"/>
    <xf numFmtId="183" fontId="35" fillId="0" borderId="5" xfId="0" applyNumberFormat="1" applyFont="1" applyBorder="1" applyAlignment="1" applyProtection="1">
      <alignment horizontal="right"/>
      <protection locked="0"/>
    </xf>
    <xf numFmtId="0" fontId="35" fillId="0" borderId="5" xfId="0" applyFont="1" applyBorder="1" applyAlignment="1" applyProtection="1">
      <alignment horizontal="right"/>
      <protection locked="0"/>
    </xf>
    <xf numFmtId="0" fontId="35" fillId="0" borderId="49" xfId="0" applyFont="1" applyBorder="1" applyProtection="1"/>
    <xf numFmtId="0" fontId="35" fillId="0" borderId="4" xfId="0" applyFont="1" applyBorder="1" applyProtection="1"/>
    <xf numFmtId="0" fontId="35" fillId="0" borderId="13" xfId="0" applyFont="1" applyBorder="1" applyProtection="1"/>
    <xf numFmtId="0" fontId="35" fillId="0" borderId="47" xfId="0" applyFont="1" applyBorder="1" applyProtection="1"/>
    <xf numFmtId="0" fontId="47" fillId="27" borderId="18" xfId="0" applyFont="1" applyFill="1" applyBorder="1" applyProtection="1"/>
    <xf numFmtId="181" fontId="74" fillId="0" borderId="5" xfId="0" applyNumberFormat="1" applyFont="1" applyBorder="1" applyProtection="1"/>
    <xf numFmtId="0" fontId="35" fillId="0" borderId="18" xfId="0" applyFont="1" applyBorder="1" applyProtection="1"/>
    <xf numFmtId="0" fontId="35" fillId="0" borderId="12" xfId="0" applyFont="1" applyBorder="1" applyProtection="1"/>
    <xf numFmtId="181" fontId="35" fillId="0" borderId="12" xfId="0" applyNumberFormat="1" applyFont="1" applyBorder="1" applyProtection="1"/>
    <xf numFmtId="181" fontId="35" fillId="0" borderId="0" xfId="0" applyNumberFormat="1" applyFont="1" applyBorder="1" applyProtection="1"/>
    <xf numFmtId="181" fontId="35" fillId="0" borderId="56" xfId="0" applyNumberFormat="1" applyFont="1" applyBorder="1" applyProtection="1"/>
    <xf numFmtId="0" fontId="35" fillId="28" borderId="49" xfId="0" applyFont="1" applyFill="1" applyBorder="1" applyProtection="1"/>
    <xf numFmtId="0" fontId="76" fillId="28" borderId="71" xfId="0" applyFont="1" applyFill="1" applyBorder="1" applyAlignment="1" applyProtection="1">
      <alignment horizontal="center"/>
      <protection hidden="1"/>
    </xf>
    <xf numFmtId="0" fontId="76" fillId="28" borderId="36" xfId="0" applyFont="1" applyFill="1" applyBorder="1" applyAlignment="1" applyProtection="1">
      <alignment horizontal="center"/>
      <protection hidden="1"/>
    </xf>
    <xf numFmtId="0" fontId="96" fillId="29" borderId="18" xfId="0" applyFont="1" applyFill="1" applyBorder="1" applyProtection="1"/>
    <xf numFmtId="0" fontId="35" fillId="0" borderId="8" xfId="0" applyFont="1" applyBorder="1" applyProtection="1"/>
    <xf numFmtId="181" fontId="35" fillId="0" borderId="13" xfId="0" applyNumberFormat="1" applyFont="1" applyBorder="1" applyProtection="1"/>
    <xf numFmtId="181" fontId="35" fillId="0" borderId="47" xfId="0" applyNumberFormat="1" applyFont="1" applyBorder="1" applyProtection="1"/>
    <xf numFmtId="0" fontId="35" fillId="29" borderId="18" xfId="0" applyFont="1" applyFill="1" applyBorder="1" applyProtection="1"/>
    <xf numFmtId="166" fontId="75" fillId="0" borderId="5" xfId="0" applyNumberFormat="1" applyFont="1" applyBorder="1" applyAlignment="1" applyProtection="1">
      <alignment horizontal="center"/>
      <protection locked="0"/>
    </xf>
    <xf numFmtId="181" fontId="75" fillId="0" borderId="5" xfId="0" applyNumberFormat="1" applyFont="1" applyBorder="1" applyAlignment="1" applyProtection="1">
      <alignment horizontal="center"/>
      <protection locked="0"/>
    </xf>
    <xf numFmtId="181" fontId="75" fillId="0" borderId="26" xfId="0" applyNumberFormat="1" applyFont="1" applyBorder="1" applyAlignment="1" applyProtection="1">
      <alignment horizontal="center"/>
      <protection locked="0"/>
    </xf>
    <xf numFmtId="0" fontId="35" fillId="0" borderId="18" xfId="0" applyFont="1" applyBorder="1" applyProtection="1"/>
    <xf numFmtId="179" fontId="35" fillId="0" borderId="5" xfId="0" applyNumberFormat="1" applyFont="1" applyBorder="1" applyAlignment="1" applyProtection="1">
      <alignment horizontal="center"/>
    </xf>
    <xf numFmtId="181" fontId="74" fillId="0" borderId="4" xfId="0" applyNumberFormat="1" applyFont="1" applyBorder="1" applyProtection="1"/>
    <xf numFmtId="181" fontId="74" fillId="0" borderId="36" xfId="0" applyNumberFormat="1" applyFont="1" applyBorder="1" applyProtection="1"/>
    <xf numFmtId="181" fontId="75" fillId="0" borderId="5" xfId="0" applyNumberFormat="1" applyFont="1" applyBorder="1" applyProtection="1">
      <protection locked="0"/>
    </xf>
    <xf numFmtId="181" fontId="75" fillId="0" borderId="26" xfId="0" applyNumberFormat="1" applyFont="1" applyBorder="1" applyProtection="1">
      <protection locked="0"/>
    </xf>
    <xf numFmtId="181" fontId="35" fillId="0" borderId="22" xfId="0" applyNumberFormat="1" applyFont="1" applyBorder="1" applyProtection="1"/>
    <xf numFmtId="0" fontId="35" fillId="29" borderId="21" xfId="0" applyFont="1" applyFill="1" applyBorder="1" applyProtection="1"/>
    <xf numFmtId="0" fontId="35" fillId="0" borderId="27" xfId="0" applyFont="1" applyBorder="1" applyProtection="1"/>
    <xf numFmtId="181" fontId="35" fillId="0" borderId="54" xfId="0" applyNumberFormat="1" applyFont="1" applyBorder="1" applyProtection="1"/>
    <xf numFmtId="181" fontId="35" fillId="0" borderId="63" xfId="0" applyNumberFormat="1" applyFont="1" applyBorder="1" applyProtection="1"/>
    <xf numFmtId="181" fontId="35" fillId="0" borderId="64" xfId="0" applyNumberFormat="1" applyFont="1" applyBorder="1" applyProtection="1"/>
    <xf numFmtId="0" fontId="42" fillId="0" borderId="0" xfId="3" applyFont="1" applyBorder="1" applyAlignment="1" applyProtection="1">
      <alignment horizontal="center"/>
    </xf>
    <xf numFmtId="0" fontId="47" fillId="30" borderId="72" xfId="0" applyFont="1" applyFill="1" applyBorder="1" applyAlignment="1">
      <alignment horizontal="center" vertical="center"/>
    </xf>
    <xf numFmtId="0" fontId="47" fillId="21" borderId="72" xfId="0" applyFont="1" applyFill="1" applyBorder="1" applyAlignment="1">
      <alignment horizontal="center" vertical="center"/>
    </xf>
    <xf numFmtId="0" fontId="47" fillId="21" borderId="16" xfId="0" applyFont="1" applyFill="1" applyBorder="1" applyAlignment="1">
      <alignment horizontal="center" vertical="center"/>
    </xf>
    <xf numFmtId="181" fontId="47" fillId="21" borderId="5" xfId="0" applyNumberFormat="1" applyFont="1" applyFill="1" applyBorder="1" applyAlignment="1">
      <alignment horizontal="center" vertical="center"/>
    </xf>
    <xf numFmtId="0" fontId="47" fillId="21" borderId="5" xfId="0" applyFont="1" applyFill="1" applyBorder="1" applyAlignment="1">
      <alignment horizontal="center" vertical="center"/>
    </xf>
    <xf numFmtId="181" fontId="47" fillId="21" borderId="26" xfId="0" applyNumberFormat="1" applyFont="1" applyFill="1" applyBorder="1" applyAlignment="1">
      <alignment horizontal="center" vertical="center"/>
    </xf>
    <xf numFmtId="0" fontId="47" fillId="21" borderId="26" xfId="0" applyFont="1" applyFill="1" applyBorder="1" applyAlignment="1">
      <alignment horizontal="center" vertical="center"/>
    </xf>
    <xf numFmtId="184" fontId="35" fillId="31" borderId="72" xfId="0" applyNumberFormat="1" applyFont="1" applyFill="1" applyBorder="1" applyAlignment="1">
      <alignment horizontal="center" vertical="center"/>
    </xf>
    <xf numFmtId="181" fontId="35" fillId="6" borderId="16" xfId="0" applyNumberFormat="1" applyFont="1" applyFill="1" applyBorder="1" applyAlignment="1" applyProtection="1">
      <alignment vertical="center"/>
      <protection locked="0"/>
    </xf>
    <xf numFmtId="181" fontId="35" fillId="6" borderId="5" xfId="0" applyNumberFormat="1" applyFont="1" applyFill="1" applyBorder="1" applyAlignment="1" applyProtection="1">
      <alignment vertical="center"/>
      <protection locked="0"/>
    </xf>
    <xf numFmtId="185" fontId="35" fillId="5" borderId="26" xfId="0" applyNumberFormat="1" applyFont="1" applyFill="1" applyBorder="1" applyAlignment="1">
      <alignment vertical="center"/>
    </xf>
    <xf numFmtId="181" fontId="35" fillId="5" borderId="16" xfId="0" applyNumberFormat="1" applyFont="1" applyFill="1" applyBorder="1" applyAlignment="1">
      <alignment vertical="center"/>
    </xf>
    <xf numFmtId="181" fontId="35" fillId="5" borderId="26" xfId="0" applyNumberFormat="1" applyFont="1" applyFill="1" applyBorder="1" applyAlignment="1">
      <alignment vertical="center"/>
    </xf>
    <xf numFmtId="185" fontId="35" fillId="5" borderId="26" xfId="0" applyNumberFormat="1" applyFont="1" applyFill="1" applyBorder="1" applyAlignment="1" applyProtection="1">
      <alignment vertical="center"/>
      <protection hidden="1"/>
    </xf>
    <xf numFmtId="181" fontId="35" fillId="6" borderId="73" xfId="0" applyNumberFormat="1" applyFont="1" applyFill="1" applyBorder="1" applyAlignment="1" applyProtection="1">
      <alignment vertical="center"/>
      <protection locked="0"/>
    </xf>
    <xf numFmtId="181" fontId="35" fillId="6" borderId="74" xfId="0" applyNumberFormat="1" applyFont="1" applyFill="1" applyBorder="1" applyAlignment="1" applyProtection="1">
      <alignment vertical="center"/>
      <protection locked="0"/>
    </xf>
    <xf numFmtId="185" fontId="35" fillId="5" borderId="75" xfId="0" applyNumberFormat="1" applyFont="1" applyFill="1" applyBorder="1" applyAlignment="1">
      <alignment vertical="center"/>
    </xf>
    <xf numFmtId="181" fontId="35" fillId="6" borderId="76" xfId="0" applyNumberFormat="1" applyFont="1" applyFill="1" applyBorder="1" applyAlignment="1" applyProtection="1">
      <alignment vertical="center"/>
      <protection locked="0"/>
    </xf>
    <xf numFmtId="181" fontId="35" fillId="5" borderId="76" xfId="0" applyNumberFormat="1" applyFont="1" applyFill="1" applyBorder="1" applyAlignment="1">
      <alignment vertical="center"/>
    </xf>
    <xf numFmtId="181" fontId="35" fillId="5" borderId="75" xfId="0" applyNumberFormat="1" applyFont="1" applyFill="1" applyBorder="1" applyAlignment="1">
      <alignment vertical="center"/>
    </xf>
    <xf numFmtId="0" fontId="35" fillId="31" borderId="77" xfId="0" applyFont="1" applyFill="1" applyBorder="1" applyAlignment="1">
      <alignment horizontal="right" vertical="center"/>
    </xf>
    <xf numFmtId="181" fontId="35" fillId="5" borderId="78" xfId="0" applyNumberFormat="1" applyFont="1" applyFill="1" applyBorder="1" applyAlignment="1">
      <alignment vertical="center"/>
    </xf>
    <xf numFmtId="181" fontId="35" fillId="5" borderId="40" xfId="0" applyNumberFormat="1" applyFont="1" applyFill="1" applyBorder="1" applyAlignment="1">
      <alignment vertical="center"/>
    </xf>
    <xf numFmtId="181" fontId="35" fillId="5" borderId="41" xfId="0" applyNumberFormat="1" applyFont="1" applyFill="1" applyBorder="1" applyAlignment="1">
      <alignment vertical="center"/>
    </xf>
    <xf numFmtId="0" fontId="35" fillId="0" borderId="0" xfId="0" applyFont="1" applyAlignment="1">
      <alignment horizontal="right" vertical="center"/>
    </xf>
    <xf numFmtId="0" fontId="35" fillId="0" borderId="0" xfId="0" applyFont="1" applyAlignment="1">
      <alignment horizontal="left" vertical="center"/>
    </xf>
    <xf numFmtId="186" fontId="35" fillId="0" borderId="0" xfId="0" applyNumberFormat="1" applyFont="1" applyAlignment="1">
      <alignment vertical="center"/>
    </xf>
    <xf numFmtId="0" fontId="35" fillId="0" borderId="0" xfId="0" applyFont="1" applyAlignment="1">
      <alignment vertical="center"/>
    </xf>
    <xf numFmtId="0" fontId="35" fillId="0" borderId="43" xfId="0" applyFont="1" applyBorder="1" applyAlignment="1">
      <alignment vertical="center"/>
    </xf>
    <xf numFmtId="0" fontId="47" fillId="31" borderId="10" xfId="0" applyFont="1" applyFill="1" applyBorder="1" applyProtection="1"/>
    <xf numFmtId="0" fontId="47" fillId="6" borderId="16" xfId="0" applyFont="1" applyFill="1" applyBorder="1" applyAlignment="1" applyProtection="1">
      <alignment horizontal="center"/>
      <protection locked="0"/>
    </xf>
    <xf numFmtId="181" fontId="47" fillId="5" borderId="10" xfId="0" applyNumberFormat="1" applyFont="1" applyFill="1" applyBorder="1" applyAlignment="1">
      <alignment vertical="center"/>
    </xf>
    <xf numFmtId="181" fontId="47" fillId="5" borderId="16" xfId="0" applyNumberFormat="1" applyFont="1" applyFill="1" applyBorder="1" applyAlignment="1" applyProtection="1">
      <alignment vertical="center"/>
      <protection hidden="1"/>
    </xf>
    <xf numFmtId="0" fontId="35" fillId="0" borderId="12" xfId="0" applyFont="1" applyBorder="1" applyAlignment="1">
      <alignment vertical="center"/>
    </xf>
    <xf numFmtId="0" fontId="35" fillId="0" borderId="0" xfId="0" applyFont="1" applyProtection="1"/>
    <xf numFmtId="0" fontId="88" fillId="0" borderId="0" xfId="0" applyFont="1" applyProtection="1"/>
    <xf numFmtId="0" fontId="88" fillId="0" borderId="0" xfId="0" applyFont="1"/>
    <xf numFmtId="0" fontId="114" fillId="0" borderId="0" xfId="0" applyFont="1" applyProtection="1"/>
    <xf numFmtId="0" fontId="114" fillId="0" borderId="0" xfId="0" applyFont="1"/>
    <xf numFmtId="0" fontId="73" fillId="0" borderId="0" xfId="0" applyFont="1" applyProtection="1"/>
    <xf numFmtId="0" fontId="73" fillId="0" borderId="0" xfId="0" applyFont="1"/>
    <xf numFmtId="0" fontId="73" fillId="0" borderId="0" xfId="0" applyFont="1"/>
    <xf numFmtId="0" fontId="82" fillId="0" borderId="0" xfId="0" applyFont="1"/>
    <xf numFmtId="0" fontId="115" fillId="0" borderId="0" xfId="0" applyFont="1"/>
    <xf numFmtId="0" fontId="86" fillId="0" borderId="0" xfId="0" applyFont="1"/>
    <xf numFmtId="0" fontId="66" fillId="0" borderId="0" xfId="0" applyFont="1" applyProtection="1">
      <protection hidden="1"/>
    </xf>
    <xf numFmtId="0" fontId="86" fillId="0" borderId="0" xfId="0" applyFont="1" applyAlignment="1" applyProtection="1">
      <alignment horizontal="right" vertical="center"/>
      <protection hidden="1"/>
    </xf>
    <xf numFmtId="167" fontId="86" fillId="0" borderId="0" xfId="0" applyNumberFormat="1" applyFont="1" applyAlignment="1" applyProtection="1">
      <alignment horizontal="center" vertical="center"/>
      <protection hidden="1"/>
    </xf>
    <xf numFmtId="0" fontId="68" fillId="32" borderId="0" xfId="0" applyFont="1" applyFill="1" applyProtection="1">
      <protection hidden="1"/>
    </xf>
    <xf numFmtId="0" fontId="66" fillId="32" borderId="0" xfId="0" applyFont="1" applyFill="1" applyProtection="1">
      <protection hidden="1"/>
    </xf>
    <xf numFmtId="0" fontId="54" fillId="0" borderId="32" xfId="0" applyFont="1" applyBorder="1" applyProtection="1">
      <protection hidden="1"/>
    </xf>
    <xf numFmtId="0" fontId="54" fillId="0" borderId="33" xfId="0" applyFont="1" applyBorder="1" applyProtection="1">
      <protection hidden="1"/>
    </xf>
    <xf numFmtId="167" fontId="54" fillId="0" borderId="33" xfId="0" applyNumberFormat="1" applyFont="1" applyBorder="1" applyProtection="1">
      <protection hidden="1"/>
    </xf>
    <xf numFmtId="0" fontId="35" fillId="0" borderId="33" xfId="0" applyFont="1" applyBorder="1" applyAlignment="1" applyProtection="1">
      <alignment horizontal="center"/>
      <protection hidden="1"/>
    </xf>
    <xf numFmtId="167" fontId="54" fillId="0" borderId="33" xfId="0" applyNumberFormat="1" applyFont="1" applyBorder="1" applyProtection="1">
      <protection hidden="1"/>
    </xf>
    <xf numFmtId="1" fontId="66" fillId="0" borderId="33" xfId="0" applyNumberFormat="1" applyFont="1" applyBorder="1" applyAlignment="1" applyProtection="1">
      <alignment horizontal="center"/>
      <protection hidden="1"/>
    </xf>
    <xf numFmtId="0" fontId="66" fillId="0" borderId="34" xfId="0" applyFont="1" applyBorder="1" applyProtection="1">
      <protection hidden="1"/>
    </xf>
    <xf numFmtId="167" fontId="47" fillId="0" borderId="33" xfId="0" applyNumberFormat="1" applyFont="1" applyBorder="1" applyProtection="1">
      <protection hidden="1"/>
    </xf>
    <xf numFmtId="167" fontId="47" fillId="0" borderId="33" xfId="0" applyNumberFormat="1" applyFont="1" applyBorder="1" applyProtection="1">
      <protection hidden="1"/>
    </xf>
    <xf numFmtId="0" fontId="55" fillId="34" borderId="18" xfId="0" applyFont="1" applyFill="1" applyBorder="1" applyProtection="1">
      <protection hidden="1"/>
    </xf>
    <xf numFmtId="0" fontId="55" fillId="24" borderId="5" xfId="0" applyFont="1" applyFill="1" applyBorder="1" applyAlignment="1" applyProtection="1">
      <alignment horizontal="center"/>
      <protection hidden="1"/>
    </xf>
    <xf numFmtId="0" fontId="55" fillId="24" borderId="26" xfId="0" applyFont="1" applyFill="1" applyBorder="1" applyAlignment="1" applyProtection="1">
      <alignment horizontal="center"/>
      <protection hidden="1"/>
    </xf>
    <xf numFmtId="0" fontId="66" fillId="0" borderId="0" xfId="0" applyFont="1" applyBorder="1" applyProtection="1">
      <protection hidden="1"/>
    </xf>
    <xf numFmtId="0" fontId="65" fillId="0" borderId="0" xfId="0" applyFont="1" applyBorder="1" applyProtection="1">
      <protection hidden="1"/>
    </xf>
    <xf numFmtId="0" fontId="118" fillId="0" borderId="18" xfId="0" applyFont="1" applyBorder="1" applyProtection="1">
      <protection hidden="1"/>
    </xf>
    <xf numFmtId="0" fontId="118" fillId="0" borderId="5" xfId="0" applyFont="1" applyBorder="1" applyProtection="1">
      <protection hidden="1"/>
    </xf>
    <xf numFmtId="0" fontId="118" fillId="0" borderId="5" xfId="0" applyFont="1" applyBorder="1" applyAlignment="1" applyProtection="1">
      <alignment horizontal="center"/>
      <protection hidden="1"/>
    </xf>
    <xf numFmtId="0" fontId="118" fillId="0" borderId="26" xfId="0" applyFont="1" applyBorder="1" applyAlignment="1" applyProtection="1">
      <alignment horizontal="center"/>
      <protection hidden="1"/>
    </xf>
    <xf numFmtId="167" fontId="54" fillId="0" borderId="33" xfId="0" applyNumberFormat="1" applyFont="1" applyBorder="1" applyAlignment="1" applyProtection="1">
      <alignment horizontal="center"/>
      <protection hidden="1"/>
    </xf>
    <xf numFmtId="167" fontId="54" fillId="0" borderId="34" xfId="0" applyNumberFormat="1" applyFont="1" applyBorder="1" applyAlignment="1" applyProtection="1">
      <alignment horizontal="center"/>
      <protection hidden="1"/>
    </xf>
    <xf numFmtId="0" fontId="66" fillId="0" borderId="23" xfId="0" applyFont="1" applyBorder="1" applyProtection="1">
      <protection hidden="1"/>
    </xf>
    <xf numFmtId="0" fontId="76" fillId="24" borderId="24" xfId="0" applyFont="1" applyFill="1" applyBorder="1" applyAlignment="1" applyProtection="1">
      <alignment horizontal="center"/>
      <protection hidden="1"/>
    </xf>
    <xf numFmtId="0" fontId="76" fillId="24" borderId="25" xfId="0" applyFont="1" applyFill="1" applyBorder="1" applyAlignment="1" applyProtection="1">
      <alignment horizontal="center"/>
      <protection hidden="1"/>
    </xf>
    <xf numFmtId="181" fontId="118" fillId="0" borderId="5" xfId="0" applyNumberFormat="1" applyFont="1" applyBorder="1" applyProtection="1">
      <protection hidden="1"/>
    </xf>
    <xf numFmtId="0" fontId="118" fillId="0" borderId="22" xfId="0" applyFont="1" applyBorder="1" applyProtection="1">
      <protection hidden="1"/>
    </xf>
    <xf numFmtId="0" fontId="118" fillId="0" borderId="0" xfId="0" applyFont="1" applyBorder="1" applyProtection="1">
      <protection hidden="1"/>
    </xf>
    <xf numFmtId="0" fontId="118" fillId="0" borderId="56" xfId="0" applyFont="1" applyBorder="1" applyProtection="1">
      <protection hidden="1"/>
    </xf>
    <xf numFmtId="0" fontId="66" fillId="0" borderId="50" xfId="0" applyFont="1" applyBorder="1" applyProtection="1">
      <protection hidden="1"/>
    </xf>
    <xf numFmtId="0" fontId="66" fillId="0" borderId="0" xfId="0" applyFont="1" applyBorder="1" applyProtection="1">
      <protection hidden="1"/>
    </xf>
    <xf numFmtId="0" fontId="66" fillId="0" borderId="56" xfId="0" applyFont="1" applyBorder="1" applyProtection="1">
      <protection hidden="1"/>
    </xf>
    <xf numFmtId="0" fontId="66" fillId="0" borderId="79" xfId="0" applyFont="1" applyBorder="1" applyProtection="1">
      <protection hidden="1"/>
    </xf>
    <xf numFmtId="0" fontId="76" fillId="24" borderId="71" xfId="0" applyFont="1" applyFill="1" applyBorder="1" applyAlignment="1" applyProtection="1">
      <alignment horizontal="center"/>
      <protection hidden="1"/>
    </xf>
    <xf numFmtId="0" fontId="76" fillId="24" borderId="36" xfId="0" applyFont="1" applyFill="1" applyBorder="1" applyAlignment="1" applyProtection="1">
      <alignment horizontal="center"/>
      <protection hidden="1"/>
    </xf>
    <xf numFmtId="0" fontId="66" fillId="0" borderId="18" xfId="0" applyFont="1" applyBorder="1" applyProtection="1">
      <protection hidden="1"/>
    </xf>
    <xf numFmtId="1" fontId="47" fillId="24" borderId="5" xfId="0" applyNumberFormat="1" applyFont="1" applyFill="1" applyBorder="1" applyAlignment="1" applyProtection="1">
      <alignment horizontal="center"/>
      <protection hidden="1"/>
    </xf>
    <xf numFmtId="49" fontId="35" fillId="0" borderId="5" xfId="0" applyNumberFormat="1" applyFont="1" applyBorder="1" applyAlignment="1" applyProtection="1">
      <alignment horizontal="center"/>
      <protection hidden="1"/>
    </xf>
    <xf numFmtId="49" fontId="35" fillId="0" borderId="26" xfId="0" applyNumberFormat="1" applyFont="1" applyBorder="1" applyAlignment="1" applyProtection="1">
      <alignment horizontal="center"/>
      <protection hidden="1"/>
    </xf>
    <xf numFmtId="0" fontId="118" fillId="0" borderId="51" xfId="0" applyFont="1" applyBorder="1" applyProtection="1">
      <protection hidden="1"/>
    </xf>
    <xf numFmtId="181" fontId="118" fillId="0" borderId="11" xfId="0" applyNumberFormat="1" applyFont="1" applyBorder="1" applyProtection="1">
      <protection hidden="1"/>
    </xf>
    <xf numFmtId="0" fontId="35" fillId="0" borderId="23" xfId="0" applyFont="1" applyBorder="1" applyProtection="1">
      <protection hidden="1"/>
    </xf>
    <xf numFmtId="0" fontId="47" fillId="0" borderId="24" xfId="0" applyFont="1" applyBorder="1" applyAlignment="1" applyProtection="1">
      <alignment horizontal="center"/>
      <protection hidden="1"/>
    </xf>
    <xf numFmtId="0" fontId="47" fillId="16" borderId="24" xfId="0" applyFont="1" applyFill="1" applyBorder="1" applyAlignment="1" applyProtection="1">
      <alignment horizontal="center"/>
      <protection hidden="1"/>
    </xf>
    <xf numFmtId="0" fontId="47" fillId="16" borderId="25" xfId="0" applyFont="1" applyFill="1" applyBorder="1" applyAlignment="1" applyProtection="1">
      <alignment horizontal="center"/>
      <protection hidden="1"/>
    </xf>
    <xf numFmtId="0" fontId="35" fillId="0" borderId="79" xfId="0" applyFont="1" applyBorder="1" applyProtection="1">
      <protection hidden="1"/>
    </xf>
    <xf numFmtId="1" fontId="47" fillId="24" borderId="71" xfId="0" applyNumberFormat="1" applyFont="1" applyFill="1" applyBorder="1" applyAlignment="1" applyProtection="1">
      <alignment horizontal="center"/>
      <protection hidden="1"/>
    </xf>
    <xf numFmtId="49" fontId="35" fillId="0" borderId="71" xfId="0" applyNumberFormat="1" applyFont="1" applyBorder="1" applyAlignment="1" applyProtection="1">
      <alignment horizontal="center"/>
      <protection hidden="1"/>
    </xf>
    <xf numFmtId="49" fontId="35" fillId="0" borderId="80" xfId="0" applyNumberFormat="1" applyFont="1" applyBorder="1" applyAlignment="1" applyProtection="1">
      <alignment horizontal="center"/>
      <protection hidden="1"/>
    </xf>
    <xf numFmtId="49" fontId="35" fillId="0" borderId="36" xfId="0" applyNumberFormat="1" applyFont="1" applyBorder="1" applyAlignment="1" applyProtection="1">
      <alignment horizontal="center"/>
      <protection hidden="1"/>
    </xf>
    <xf numFmtId="0" fontId="66" fillId="0" borderId="21" xfId="0" applyFont="1" applyBorder="1" applyProtection="1">
      <protection hidden="1"/>
    </xf>
    <xf numFmtId="0" fontId="87" fillId="0" borderId="27" xfId="0" applyFont="1" applyBorder="1" applyAlignment="1" applyProtection="1">
      <alignment horizontal="center"/>
      <protection hidden="1"/>
    </xf>
    <xf numFmtId="1" fontId="35" fillId="0" borderId="27" xfId="0" applyNumberFormat="1" applyFont="1" applyBorder="1" applyAlignment="1" applyProtection="1">
      <alignment horizontal="center"/>
      <protection hidden="1"/>
    </xf>
    <xf numFmtId="1" fontId="35" fillId="0" borderId="28" xfId="0" applyNumberFormat="1" applyFont="1" applyBorder="1" applyAlignment="1" applyProtection="1">
      <alignment horizontal="center"/>
      <protection hidden="1"/>
    </xf>
    <xf numFmtId="0" fontId="118" fillId="0" borderId="60" xfId="0" applyFont="1" applyBorder="1" applyProtection="1">
      <protection hidden="1"/>
    </xf>
    <xf numFmtId="181" fontId="118" fillId="0" borderId="3" xfId="0" applyNumberFormat="1" applyFont="1" applyBorder="1" applyProtection="1">
      <protection hidden="1"/>
    </xf>
    <xf numFmtId="181" fontId="118" fillId="0" borderId="0" xfId="0" applyNumberFormat="1" applyFont="1" applyBorder="1" applyProtection="1">
      <protection hidden="1"/>
    </xf>
    <xf numFmtId="181" fontId="118" fillId="0" borderId="81" xfId="0" applyNumberFormat="1" applyFont="1" applyBorder="1" applyProtection="1">
      <protection hidden="1"/>
    </xf>
    <xf numFmtId="181" fontId="118" fillId="0" borderId="56" xfId="0" applyNumberFormat="1" applyFont="1" applyBorder="1" applyProtection="1">
      <protection hidden="1"/>
    </xf>
    <xf numFmtId="0" fontId="35" fillId="0" borderId="18" xfId="0" applyFont="1" applyBorder="1" applyProtection="1">
      <protection hidden="1"/>
    </xf>
    <xf numFmtId="1" fontId="47" fillId="0" borderId="5" xfId="0" applyNumberFormat="1" applyFont="1" applyBorder="1" applyAlignment="1" applyProtection="1">
      <alignment horizontal="center"/>
      <protection hidden="1"/>
    </xf>
    <xf numFmtId="1" fontId="47" fillId="0" borderId="71" xfId="0" applyNumberFormat="1" applyFont="1" applyBorder="1" applyAlignment="1" applyProtection="1">
      <alignment horizontal="center"/>
      <protection hidden="1"/>
    </xf>
    <xf numFmtId="0" fontId="35" fillId="0" borderId="71" xfId="0" applyFont="1" applyBorder="1" applyAlignment="1" applyProtection="1">
      <alignment horizontal="center"/>
      <protection hidden="1"/>
    </xf>
    <xf numFmtId="0" fontId="35" fillId="0" borderId="80" xfId="0" applyFont="1" applyBorder="1" applyAlignment="1" applyProtection="1">
      <alignment horizontal="center"/>
      <protection hidden="1"/>
    </xf>
    <xf numFmtId="0" fontId="35" fillId="0" borderId="36" xfId="0" applyFont="1" applyBorder="1" applyAlignment="1" applyProtection="1">
      <alignment horizontal="center"/>
      <protection hidden="1"/>
    </xf>
    <xf numFmtId="0" fontId="35" fillId="0" borderId="0" xfId="0" applyFont="1" applyBorder="1" applyProtection="1">
      <protection hidden="1"/>
    </xf>
    <xf numFmtId="0" fontId="66" fillId="0" borderId="0" xfId="0" applyFont="1" applyBorder="1" applyAlignment="1" applyProtection="1">
      <alignment horizontal="center"/>
      <protection hidden="1"/>
    </xf>
    <xf numFmtId="0" fontId="118" fillId="0" borderId="37" xfId="0" applyFont="1" applyBorder="1" applyProtection="1">
      <protection hidden="1"/>
    </xf>
    <xf numFmtId="0" fontId="118" fillId="0" borderId="30" xfId="0" applyFont="1" applyBorder="1" applyProtection="1">
      <protection hidden="1"/>
    </xf>
    <xf numFmtId="0" fontId="118" fillId="0" borderId="12" xfId="0" applyFont="1" applyBorder="1" applyProtection="1">
      <protection hidden="1"/>
    </xf>
    <xf numFmtId="0" fontId="118" fillId="0" borderId="15" xfId="0" applyFont="1" applyBorder="1" applyProtection="1">
      <protection hidden="1"/>
    </xf>
    <xf numFmtId="181" fontId="119" fillId="0" borderId="22" xfId="0" applyNumberFormat="1" applyFont="1" applyBorder="1" applyProtection="1">
      <protection hidden="1"/>
    </xf>
    <xf numFmtId="181" fontId="119" fillId="0" borderId="39" xfId="0" applyNumberFormat="1" applyFont="1" applyBorder="1" applyProtection="1">
      <protection hidden="1"/>
    </xf>
    <xf numFmtId="0" fontId="35" fillId="0" borderId="37" xfId="0" applyFont="1" applyBorder="1" applyProtection="1">
      <protection hidden="1"/>
    </xf>
    <xf numFmtId="0" fontId="35" fillId="0" borderId="22" xfId="0" applyFont="1" applyBorder="1" applyProtection="1">
      <protection hidden="1"/>
    </xf>
    <xf numFmtId="1" fontId="35" fillId="0" borderId="5" xfId="0" applyNumberFormat="1" applyFont="1" applyBorder="1" applyAlignment="1" applyProtection="1">
      <alignment horizontal="center"/>
      <protection hidden="1"/>
    </xf>
    <xf numFmtId="1" fontId="35" fillId="0" borderId="26" xfId="0" applyNumberFormat="1" applyFont="1" applyBorder="1" applyAlignment="1" applyProtection="1">
      <alignment horizontal="center"/>
      <protection hidden="1"/>
    </xf>
    <xf numFmtId="0" fontId="35" fillId="0" borderId="71" xfId="0" applyFont="1" applyBorder="1" applyProtection="1">
      <protection hidden="1"/>
    </xf>
    <xf numFmtId="1" fontId="120" fillId="0" borderId="71" xfId="0" applyNumberFormat="1" applyFont="1" applyBorder="1" applyAlignment="1" applyProtection="1">
      <alignment horizontal="center"/>
      <protection hidden="1"/>
    </xf>
    <xf numFmtId="1" fontId="120" fillId="0" borderId="80" xfId="0" applyNumberFormat="1" applyFont="1" applyBorder="1" applyAlignment="1" applyProtection="1">
      <alignment horizontal="center"/>
      <protection hidden="1"/>
    </xf>
    <xf numFmtId="1" fontId="120" fillId="0" borderId="36" xfId="0" applyNumberFormat="1" applyFont="1" applyBorder="1" applyAlignment="1" applyProtection="1">
      <alignment horizontal="center"/>
      <protection hidden="1"/>
    </xf>
    <xf numFmtId="0" fontId="118" fillId="0" borderId="8" xfId="0" applyFont="1" applyBorder="1" applyProtection="1">
      <protection hidden="1"/>
    </xf>
    <xf numFmtId="0" fontId="118" fillId="0" borderId="13" xfId="0" applyFont="1" applyBorder="1" applyProtection="1">
      <protection hidden="1"/>
    </xf>
    <xf numFmtId="0" fontId="118" fillId="0" borderId="14" xfId="0" applyFont="1" applyBorder="1" applyProtection="1">
      <protection hidden="1"/>
    </xf>
    <xf numFmtId="181" fontId="118" fillId="0" borderId="46" xfId="0" applyNumberFormat="1" applyFont="1" applyBorder="1" applyProtection="1">
      <protection hidden="1"/>
    </xf>
    <xf numFmtId="0" fontId="35" fillId="0" borderId="5" xfId="0" applyFont="1" applyBorder="1" applyProtection="1">
      <protection hidden="1"/>
    </xf>
    <xf numFmtId="1" fontId="35" fillId="0" borderId="16" xfId="0" applyNumberFormat="1" applyFont="1" applyBorder="1" applyAlignment="1" applyProtection="1">
      <alignment horizontal="center"/>
      <protection hidden="1"/>
    </xf>
    <xf numFmtId="0" fontId="35" fillId="0" borderId="82" xfId="0" applyFont="1" applyBorder="1" applyProtection="1">
      <protection hidden="1"/>
    </xf>
    <xf numFmtId="0" fontId="35" fillId="0" borderId="83" xfId="0" applyFont="1" applyBorder="1" applyProtection="1">
      <protection hidden="1"/>
    </xf>
    <xf numFmtId="0" fontId="35" fillId="0" borderId="83" xfId="0" applyFont="1" applyBorder="1" applyAlignment="1" applyProtection="1">
      <alignment horizontal="center"/>
      <protection hidden="1"/>
    </xf>
    <xf numFmtId="0" fontId="35" fillId="0" borderId="84" xfId="0" applyFont="1" applyBorder="1" applyAlignment="1" applyProtection="1">
      <alignment horizontal="center"/>
      <protection hidden="1"/>
    </xf>
    <xf numFmtId="0" fontId="35" fillId="0" borderId="64" xfId="0" applyFont="1" applyBorder="1" applyAlignment="1" applyProtection="1">
      <alignment horizontal="center"/>
      <protection hidden="1"/>
    </xf>
    <xf numFmtId="49" fontId="66" fillId="0" borderId="69" xfId="0" applyNumberFormat="1" applyFont="1" applyBorder="1" applyProtection="1">
      <protection hidden="1"/>
    </xf>
    <xf numFmtId="3" fontId="47" fillId="24" borderId="10" xfId="0" applyNumberFormat="1" applyFont="1" applyFill="1" applyBorder="1" applyAlignment="1" applyProtection="1">
      <alignment horizontal="center"/>
      <protection hidden="1"/>
    </xf>
    <xf numFmtId="181" fontId="74" fillId="0" borderId="0" xfId="0" applyNumberFormat="1" applyFont="1" applyBorder="1" applyProtection="1">
      <protection hidden="1"/>
    </xf>
    <xf numFmtId="181" fontId="35" fillId="0" borderId="0" xfId="0" applyNumberFormat="1" applyFont="1" applyBorder="1" applyProtection="1">
      <protection hidden="1"/>
    </xf>
    <xf numFmtId="181" fontId="35" fillId="0" borderId="56" xfId="0" applyNumberFormat="1" applyFont="1" applyBorder="1" applyProtection="1">
      <protection hidden="1"/>
    </xf>
    <xf numFmtId="181" fontId="118" fillId="0" borderId="5" xfId="0" applyNumberFormat="1" applyFont="1" applyBorder="1" applyProtection="1">
      <protection hidden="1"/>
    </xf>
    <xf numFmtId="181" fontId="118" fillId="0" borderId="26" xfId="0" applyNumberFormat="1" applyFont="1" applyBorder="1" applyProtection="1">
      <protection hidden="1"/>
    </xf>
    <xf numFmtId="1" fontId="35" fillId="0" borderId="85" xfId="0" applyNumberFormat="1" applyFont="1" applyBorder="1" applyAlignment="1" applyProtection="1">
      <alignment horizontal="center"/>
      <protection hidden="1"/>
    </xf>
    <xf numFmtId="0" fontId="47" fillId="0" borderId="86" xfId="0" applyFont="1" applyBorder="1" applyProtection="1">
      <protection hidden="1"/>
    </xf>
    <xf numFmtId="181" fontId="121" fillId="24" borderId="87" xfId="0" applyNumberFormat="1" applyFont="1" applyFill="1" applyBorder="1" applyProtection="1">
      <protection hidden="1"/>
    </xf>
    <xf numFmtId="181" fontId="121" fillId="0" borderId="87" xfId="0" applyNumberFormat="1" applyFont="1" applyBorder="1" applyProtection="1">
      <protection hidden="1"/>
    </xf>
    <xf numFmtId="181" fontId="121" fillId="0" borderId="88" xfId="0" applyNumberFormat="1" applyFont="1" applyBorder="1" applyProtection="1">
      <protection hidden="1"/>
    </xf>
    <xf numFmtId="181" fontId="121" fillId="0" borderId="59" xfId="0" applyNumberFormat="1" applyFont="1" applyBorder="1" applyProtection="1">
      <protection hidden="1"/>
    </xf>
    <xf numFmtId="0" fontId="47" fillId="24" borderId="10" xfId="0" applyFont="1" applyFill="1" applyBorder="1" applyAlignment="1" applyProtection="1">
      <alignment horizontal="center"/>
      <protection hidden="1"/>
    </xf>
    <xf numFmtId="1" fontId="35" fillId="0" borderId="33" xfId="0" applyNumberFormat="1" applyFont="1" applyBorder="1" applyAlignment="1" applyProtection="1">
      <alignment horizontal="center"/>
      <protection hidden="1"/>
    </xf>
    <xf numFmtId="1" fontId="35" fillId="0" borderId="34" xfId="0" applyNumberFormat="1" applyFont="1" applyBorder="1" applyAlignment="1" applyProtection="1">
      <alignment horizontal="center"/>
      <protection hidden="1"/>
    </xf>
    <xf numFmtId="0" fontId="47" fillId="0" borderId="89" xfId="0" applyFont="1" applyBorder="1" applyProtection="1">
      <protection hidden="1"/>
    </xf>
    <xf numFmtId="181" fontId="121" fillId="0" borderId="71" xfId="0" applyNumberFormat="1" applyFont="1" applyBorder="1" applyProtection="1">
      <protection hidden="1"/>
    </xf>
    <xf numFmtId="181" fontId="121" fillId="0" borderId="71" xfId="0" applyNumberFormat="1" applyFont="1" applyBorder="1" applyProtection="1">
      <protection hidden="1"/>
    </xf>
    <xf numFmtId="181" fontId="121" fillId="0" borderId="80" xfId="0" applyNumberFormat="1" applyFont="1" applyBorder="1" applyProtection="1">
      <protection hidden="1"/>
    </xf>
    <xf numFmtId="181" fontId="121" fillId="0" borderId="36" xfId="0" applyNumberFormat="1" applyFont="1" applyBorder="1" applyProtection="1">
      <protection hidden="1"/>
    </xf>
    <xf numFmtId="0" fontId="35" fillId="0" borderId="49" xfId="0" applyFont="1" applyBorder="1" applyProtection="1">
      <protection hidden="1"/>
    </xf>
    <xf numFmtId="181" fontId="35" fillId="0" borderId="10" xfId="0" applyNumberFormat="1" applyFont="1" applyBorder="1" applyProtection="1">
      <protection hidden="1"/>
    </xf>
    <xf numFmtId="181" fontId="122" fillId="0" borderId="0" xfId="0" applyNumberFormat="1" applyFont="1" applyBorder="1" applyProtection="1">
      <protection hidden="1"/>
    </xf>
    <xf numFmtId="0" fontId="54" fillId="34" borderId="23" xfId="0" applyFont="1" applyFill="1" applyBorder="1" applyAlignment="1">
      <alignment vertical="center"/>
    </xf>
    <xf numFmtId="181" fontId="47" fillId="0" borderId="42" xfId="0" applyNumberFormat="1" applyFont="1" applyBorder="1"/>
    <xf numFmtId="0" fontId="66" fillId="0" borderId="79" xfId="0" applyFont="1" applyBorder="1" applyProtection="1">
      <protection hidden="1"/>
    </xf>
    <xf numFmtId="181" fontId="121" fillId="24" borderId="71" xfId="0" applyNumberFormat="1" applyFont="1" applyFill="1" applyBorder="1" applyProtection="1">
      <protection hidden="1"/>
    </xf>
    <xf numFmtId="181" fontId="121" fillId="0" borderId="80" xfId="0" applyNumberFormat="1" applyFont="1" applyBorder="1" applyProtection="1">
      <protection hidden="1"/>
    </xf>
    <xf numFmtId="181" fontId="121" fillId="0" borderId="36" xfId="0" applyNumberFormat="1" applyFont="1" applyBorder="1" applyProtection="1">
      <protection hidden="1"/>
    </xf>
    <xf numFmtId="0" fontId="123" fillId="0" borderId="49" xfId="0" applyFont="1" applyBorder="1" applyProtection="1">
      <protection hidden="1"/>
    </xf>
    <xf numFmtId="0" fontId="124" fillId="28" borderId="51" xfId="0" applyFont="1" applyFill="1" applyBorder="1" applyProtection="1">
      <protection hidden="1"/>
    </xf>
    <xf numFmtId="181" fontId="35" fillId="0" borderId="11" xfId="0" applyNumberFormat="1" applyFont="1" applyBorder="1"/>
    <xf numFmtId="181" fontId="35" fillId="0" borderId="46" xfId="0" applyNumberFormat="1" applyFont="1" applyBorder="1"/>
    <xf numFmtId="0" fontId="66" fillId="0" borderId="49" xfId="0" applyFont="1" applyBorder="1" applyProtection="1">
      <protection hidden="1"/>
    </xf>
    <xf numFmtId="0" fontId="126" fillId="5" borderId="18" xfId="0" applyFont="1" applyFill="1" applyBorder="1" applyProtection="1">
      <protection hidden="1"/>
    </xf>
    <xf numFmtId="0" fontId="118" fillId="0" borderId="0" xfId="0" applyFont="1" applyBorder="1" applyProtection="1">
      <protection hidden="1"/>
    </xf>
    <xf numFmtId="0" fontId="35" fillId="0" borderId="18" xfId="0" applyFont="1" applyBorder="1" applyProtection="1">
      <protection hidden="1"/>
    </xf>
    <xf numFmtId="181" fontId="74" fillId="0" borderId="5" xfId="0" applyNumberFormat="1" applyFont="1" applyBorder="1"/>
    <xf numFmtId="181" fontId="35" fillId="6" borderId="5" xfId="0" applyNumberFormat="1" applyFont="1" applyFill="1" applyBorder="1" applyAlignment="1" applyProtection="1">
      <alignment horizontal="right"/>
      <protection locked="0"/>
    </xf>
    <xf numFmtId="0" fontId="118" fillId="5" borderId="18" xfId="0" applyFont="1" applyFill="1" applyBorder="1" applyProtection="1">
      <protection hidden="1"/>
    </xf>
    <xf numFmtId="181" fontId="118" fillId="5" borderId="5" xfId="0" applyNumberFormat="1" applyFont="1" applyFill="1" applyBorder="1" applyProtection="1">
      <protection hidden="1"/>
    </xf>
    <xf numFmtId="181" fontId="119" fillId="0" borderId="0" xfId="0" applyNumberFormat="1" applyFont="1" applyBorder="1" applyProtection="1">
      <protection hidden="1"/>
    </xf>
    <xf numFmtId="0" fontId="35" fillId="0" borderId="37" xfId="0" applyFont="1" applyBorder="1" applyProtection="1">
      <protection hidden="1"/>
    </xf>
    <xf numFmtId="181" fontId="74" fillId="0" borderId="22" xfId="0" applyNumberFormat="1" applyFont="1" applyBorder="1"/>
    <xf numFmtId="181" fontId="119" fillId="0" borderId="0" xfId="0" applyNumberFormat="1" applyFont="1" applyBorder="1" applyProtection="1">
      <protection hidden="1"/>
    </xf>
    <xf numFmtId="181" fontId="87" fillId="0" borderId="22" xfId="0" applyNumberFormat="1" applyFont="1" applyBorder="1" applyProtection="1">
      <protection locked="0"/>
    </xf>
    <xf numFmtId="181" fontId="87" fillId="0" borderId="39" xfId="0" applyNumberFormat="1" applyFont="1" applyBorder="1" applyProtection="1">
      <protection locked="0"/>
    </xf>
    <xf numFmtId="181" fontId="118" fillId="5" borderId="74" xfId="0" applyNumberFormat="1" applyFont="1" applyFill="1" applyBorder="1" applyProtection="1">
      <protection hidden="1"/>
    </xf>
    <xf numFmtId="187" fontId="127" fillId="0" borderId="0" xfId="0" applyNumberFormat="1" applyFont="1" applyBorder="1" applyAlignment="1" applyProtection="1">
      <alignment horizontal="center"/>
      <protection hidden="1"/>
    </xf>
    <xf numFmtId="181" fontId="100" fillId="0" borderId="22" xfId="0" applyNumberFormat="1" applyFont="1" applyBorder="1" applyAlignment="1">
      <alignment horizontal="center"/>
    </xf>
    <xf numFmtId="0" fontId="55" fillId="5" borderId="18" xfId="0" applyFont="1" applyFill="1" applyBorder="1" applyProtection="1">
      <protection hidden="1"/>
    </xf>
    <xf numFmtId="181" fontId="55" fillId="5" borderId="11" xfId="0" applyNumberFormat="1" applyFont="1" applyFill="1" applyBorder="1" applyProtection="1">
      <protection hidden="1"/>
    </xf>
    <xf numFmtId="181" fontId="87" fillId="0" borderId="5" xfId="0" applyNumberFormat="1" applyFont="1" applyBorder="1" applyProtection="1">
      <protection hidden="1"/>
    </xf>
    <xf numFmtId="0" fontId="35" fillId="0" borderId="90" xfId="0" applyFont="1" applyBorder="1" applyProtection="1">
      <protection hidden="1"/>
    </xf>
    <xf numFmtId="181" fontId="35" fillId="24" borderId="91" xfId="0" applyNumberFormat="1" applyFont="1" applyFill="1" applyBorder="1" applyProtection="1">
      <protection hidden="1"/>
    </xf>
    <xf numFmtId="181" fontId="66" fillId="0" borderId="0" xfId="0" applyNumberFormat="1" applyFont="1" applyBorder="1" applyProtection="1">
      <protection hidden="1"/>
    </xf>
    <xf numFmtId="181" fontId="66" fillId="0" borderId="56" xfId="0" applyNumberFormat="1" applyFont="1" applyBorder="1" applyProtection="1">
      <protection hidden="1"/>
    </xf>
    <xf numFmtId="0" fontId="35" fillId="0" borderId="21" xfId="0" applyFont="1" applyBorder="1" applyProtection="1">
      <protection hidden="1"/>
    </xf>
    <xf numFmtId="181" fontId="100" fillId="0" borderId="27" xfId="0" applyNumberFormat="1" applyFont="1" applyBorder="1" applyAlignment="1">
      <alignment horizontal="center"/>
    </xf>
    <xf numFmtId="49" fontId="96" fillId="0" borderId="79" xfId="0" applyNumberFormat="1" applyFont="1" applyBorder="1" applyProtection="1">
      <protection hidden="1"/>
    </xf>
    <xf numFmtId="181" fontId="128" fillId="0" borderId="71" xfId="0" applyNumberFormat="1" applyFont="1" applyBorder="1" applyProtection="1">
      <protection hidden="1"/>
    </xf>
    <xf numFmtId="181" fontId="128" fillId="0" borderId="80" xfId="0" applyNumberFormat="1" applyFont="1" applyBorder="1" applyProtection="1">
      <protection hidden="1"/>
    </xf>
    <xf numFmtId="0" fontId="54" fillId="23" borderId="92" xfId="0" applyFont="1" applyFill="1" applyBorder="1" applyProtection="1">
      <protection hidden="1"/>
    </xf>
    <xf numFmtId="181" fontId="54" fillId="23" borderId="93" xfId="0" applyNumberFormat="1" applyFont="1" applyFill="1" applyBorder="1" applyProtection="1">
      <protection hidden="1"/>
    </xf>
    <xf numFmtId="181" fontId="124" fillId="23" borderId="33" xfId="0" applyNumberFormat="1" applyFont="1" applyFill="1" applyBorder="1" applyProtection="1">
      <protection hidden="1"/>
    </xf>
    <xf numFmtId="181" fontId="124" fillId="23" borderId="34" xfId="0" applyNumberFormat="1" applyFont="1" applyFill="1" applyBorder="1" applyProtection="1">
      <protection hidden="1"/>
    </xf>
    <xf numFmtId="0" fontId="35" fillId="0" borderId="50" xfId="0" applyFont="1" applyBorder="1" applyProtection="1">
      <protection hidden="1"/>
    </xf>
    <xf numFmtId="181" fontId="35" fillId="0" borderId="44" xfId="0" applyNumberFormat="1" applyFont="1" applyBorder="1"/>
    <xf numFmtId="0" fontId="66" fillId="0" borderId="94" xfId="0" applyFont="1" applyBorder="1" applyProtection="1">
      <protection hidden="1"/>
    </xf>
    <xf numFmtId="0" fontId="84" fillId="0" borderId="0" xfId="0" applyFont="1" applyProtection="1">
      <protection hidden="1"/>
    </xf>
    <xf numFmtId="0" fontId="124" fillId="28" borderId="68" xfId="0" applyFont="1" applyFill="1" applyBorder="1" applyProtection="1">
      <protection hidden="1"/>
    </xf>
    <xf numFmtId="181" fontId="35" fillId="0" borderId="55" xfId="0" applyNumberFormat="1" applyFont="1" applyBorder="1"/>
    <xf numFmtId="49" fontId="66" fillId="0" borderId="79" xfId="0" applyNumberFormat="1" applyFont="1" applyBorder="1" applyProtection="1">
      <protection hidden="1"/>
    </xf>
    <xf numFmtId="0" fontId="129" fillId="32" borderId="0" xfId="0" applyFont="1" applyFill="1" applyAlignment="1" applyProtection="1">
      <alignment horizontal="center"/>
      <protection hidden="1"/>
    </xf>
    <xf numFmtId="0" fontId="35" fillId="0" borderId="51" xfId="0" applyFont="1" applyBorder="1" applyProtection="1">
      <protection hidden="1"/>
    </xf>
    <xf numFmtId="0" fontId="76" fillId="24" borderId="5" xfId="0" applyFont="1" applyFill="1" applyBorder="1" applyAlignment="1" applyProtection="1">
      <alignment horizontal="center"/>
      <protection hidden="1"/>
    </xf>
    <xf numFmtId="0" fontId="76" fillId="24" borderId="26" xfId="0" applyFont="1" applyFill="1" applyBorder="1" applyAlignment="1" applyProtection="1">
      <alignment horizontal="center"/>
      <protection hidden="1"/>
    </xf>
    <xf numFmtId="0" fontId="118" fillId="0" borderId="50" xfId="0" applyFont="1" applyBorder="1" applyProtection="1">
      <protection hidden="1"/>
    </xf>
    <xf numFmtId="0" fontId="66" fillId="0" borderId="79" xfId="0" applyFont="1" applyBorder="1" applyProtection="1">
      <protection hidden="1"/>
    </xf>
    <xf numFmtId="0" fontId="66" fillId="0" borderId="18" xfId="0" applyFont="1" applyBorder="1" applyProtection="1">
      <protection hidden="1"/>
    </xf>
    <xf numFmtId="181" fontId="35" fillId="24" borderId="5" xfId="0" applyNumberFormat="1" applyFont="1" applyFill="1" applyBorder="1" applyProtection="1">
      <protection hidden="1"/>
    </xf>
    <xf numFmtId="0" fontId="95" fillId="0" borderId="79" xfId="0" applyFont="1" applyBorder="1" applyProtection="1">
      <protection hidden="1"/>
    </xf>
    <xf numFmtId="0" fontId="66" fillId="0" borderId="94" xfId="0" applyFont="1" applyBorder="1" applyProtection="1">
      <protection hidden="1"/>
    </xf>
    <xf numFmtId="181" fontId="118" fillId="0" borderId="74" xfId="0" applyNumberFormat="1" applyFont="1" applyBorder="1" applyProtection="1">
      <protection hidden="1"/>
    </xf>
    <xf numFmtId="0" fontId="35" fillId="0" borderId="0" xfId="0" applyFont="1" applyBorder="1" applyProtection="1">
      <protection hidden="1"/>
    </xf>
    <xf numFmtId="181" fontId="87" fillId="0" borderId="0" xfId="0" applyNumberFormat="1" applyFont="1" applyBorder="1"/>
    <xf numFmtId="181" fontId="87" fillId="0" borderId="0" xfId="0" applyNumberFormat="1" applyFont="1" applyBorder="1" applyProtection="1">
      <protection locked="0"/>
    </xf>
    <xf numFmtId="0" fontId="118" fillId="23" borderId="37" xfId="0" applyFont="1" applyFill="1" applyBorder="1" applyProtection="1">
      <protection hidden="1"/>
    </xf>
    <xf numFmtId="181" fontId="118" fillId="23" borderId="95" xfId="0" applyNumberFormat="1" applyFont="1" applyFill="1" applyBorder="1" applyProtection="1">
      <protection hidden="1"/>
    </xf>
    <xf numFmtId="181" fontId="118" fillId="23" borderId="11" xfId="0" applyNumberFormat="1" applyFont="1" applyFill="1" applyBorder="1" applyProtection="1">
      <protection hidden="1"/>
    </xf>
    <xf numFmtId="0" fontId="35" fillId="0" borderId="49" xfId="0" applyFont="1" applyBorder="1" applyProtection="1">
      <protection hidden="1"/>
    </xf>
    <xf numFmtId="0" fontId="47" fillId="0" borderId="15" xfId="0" applyFont="1" applyBorder="1" applyAlignment="1" applyProtection="1">
      <alignment horizontal="center"/>
      <protection hidden="1"/>
    </xf>
    <xf numFmtId="0" fontId="47" fillId="16" borderId="5" xfId="0" applyFont="1" applyFill="1" applyBorder="1" applyAlignment="1" applyProtection="1">
      <alignment horizontal="center"/>
      <protection hidden="1"/>
    </xf>
    <xf numFmtId="0" fontId="47" fillId="16" borderId="26" xfId="0" applyFont="1" applyFill="1" applyBorder="1" applyAlignment="1" applyProtection="1">
      <alignment horizontal="center"/>
      <protection hidden="1"/>
    </xf>
    <xf numFmtId="0" fontId="55" fillId="34" borderId="21" xfId="0" applyFont="1" applyFill="1" applyBorder="1" applyProtection="1">
      <protection hidden="1"/>
    </xf>
    <xf numFmtId="181" fontId="55" fillId="34" borderId="40" xfId="0" applyNumberFormat="1" applyFont="1" applyFill="1" applyBorder="1" applyAlignment="1" applyProtection="1">
      <alignment horizontal="right"/>
      <protection hidden="1"/>
    </xf>
    <xf numFmtId="181" fontId="119" fillId="0" borderId="58" xfId="0" applyNumberFormat="1" applyFont="1" applyBorder="1" applyAlignment="1" applyProtection="1">
      <alignment horizontal="center"/>
      <protection hidden="1"/>
    </xf>
    <xf numFmtId="0" fontId="85" fillId="28" borderId="37" xfId="0" applyFont="1" applyFill="1" applyBorder="1" applyProtection="1">
      <protection hidden="1"/>
    </xf>
    <xf numFmtId="0" fontId="130" fillId="0" borderId="8" xfId="0" applyFont="1" applyBorder="1" applyAlignment="1" applyProtection="1">
      <alignment horizontal="center"/>
      <protection hidden="1"/>
    </xf>
    <xf numFmtId="0" fontId="35" fillId="0" borderId="12" xfId="0" applyFont="1" applyBorder="1" applyProtection="1">
      <protection hidden="1"/>
    </xf>
    <xf numFmtId="0" fontId="47" fillId="0" borderId="12" xfId="0" applyFont="1" applyBorder="1" applyAlignment="1" applyProtection="1">
      <alignment horizontal="center"/>
      <protection hidden="1"/>
    </xf>
    <xf numFmtId="0" fontId="47" fillId="0" borderId="36" xfId="0" applyFont="1" applyBorder="1" applyAlignment="1" applyProtection="1">
      <alignment horizontal="center"/>
      <protection hidden="1"/>
    </xf>
    <xf numFmtId="0" fontId="35" fillId="0" borderId="18" xfId="0" applyFont="1" applyBorder="1" applyAlignment="1" applyProtection="1">
      <alignment horizontal="left"/>
      <protection hidden="1"/>
    </xf>
    <xf numFmtId="3" fontId="94" fillId="0" borderId="5" xfId="0" applyNumberFormat="1" applyFont="1" applyBorder="1" applyAlignment="1" applyProtection="1">
      <alignment horizontal="center"/>
      <protection hidden="1"/>
    </xf>
    <xf numFmtId="0" fontId="47" fillId="0" borderId="5" xfId="0" applyFont="1" applyBorder="1" applyAlignment="1" applyProtection="1">
      <alignment horizontal="center" vertical="center"/>
      <protection hidden="1"/>
    </xf>
    <xf numFmtId="0" fontId="47" fillId="0" borderId="26" xfId="0" applyFont="1" applyBorder="1" applyAlignment="1" applyProtection="1">
      <alignment horizontal="center" vertical="center"/>
      <protection hidden="1"/>
    </xf>
    <xf numFmtId="0" fontId="66" fillId="23" borderId="37" xfId="0" applyFont="1" applyFill="1" applyBorder="1" applyProtection="1">
      <protection hidden="1"/>
    </xf>
    <xf numFmtId="181" fontId="35" fillId="23" borderId="11" xfId="0" applyNumberFormat="1" applyFont="1" applyFill="1" applyBorder="1" applyProtection="1">
      <protection hidden="1"/>
    </xf>
    <xf numFmtId="0" fontId="35" fillId="0" borderId="56" xfId="0" applyFont="1" applyBorder="1" applyProtection="1">
      <protection hidden="1"/>
    </xf>
    <xf numFmtId="0" fontId="35" fillId="0" borderId="51" xfId="0" applyFont="1" applyBorder="1" applyProtection="1">
      <protection hidden="1"/>
    </xf>
    <xf numFmtId="181" fontId="74" fillId="0" borderId="11" xfId="0" applyNumberFormat="1" applyFont="1" applyBorder="1" applyProtection="1">
      <protection hidden="1"/>
    </xf>
    <xf numFmtId="181" fontId="35" fillId="0" borderId="11" xfId="0" applyNumberFormat="1" applyFont="1" applyBorder="1" applyProtection="1">
      <protection hidden="1"/>
    </xf>
    <xf numFmtId="181" fontId="35" fillId="0" borderId="46" xfId="0" applyNumberFormat="1" applyFont="1" applyBorder="1" applyProtection="1">
      <protection hidden="1"/>
    </xf>
    <xf numFmtId="0" fontId="131" fillId="34" borderId="21" xfId="0" applyFont="1" applyFill="1" applyBorder="1" applyProtection="1">
      <protection hidden="1"/>
    </xf>
    <xf numFmtId="181" fontId="98" fillId="34" borderId="40" xfId="0" applyNumberFormat="1" applyFont="1" applyFill="1" applyBorder="1" applyAlignment="1" applyProtection="1">
      <alignment horizontal="right"/>
      <protection hidden="1"/>
    </xf>
    <xf numFmtId="181" fontId="94" fillId="0" borderId="58" xfId="0" applyNumberFormat="1" applyFont="1" applyBorder="1" applyAlignment="1" applyProtection="1">
      <alignment horizontal="center"/>
      <protection hidden="1"/>
    </xf>
    <xf numFmtId="14" fontId="66" fillId="0" borderId="0" xfId="0" applyNumberFormat="1" applyFont="1" applyProtection="1">
      <protection hidden="1"/>
    </xf>
    <xf numFmtId="181" fontId="66" fillId="0" borderId="0" xfId="0" applyNumberFormat="1" applyFont="1" applyProtection="1">
      <protection hidden="1"/>
    </xf>
    <xf numFmtId="0" fontId="100" fillId="0" borderId="5" xfId="0" applyFont="1" applyBorder="1" applyAlignment="1" applyProtection="1">
      <alignment horizontal="center"/>
      <protection hidden="1"/>
    </xf>
    <xf numFmtId="181" fontId="35" fillId="0" borderId="5" xfId="0" applyNumberFormat="1" applyFont="1" applyBorder="1" applyProtection="1">
      <protection hidden="1"/>
    </xf>
    <xf numFmtId="181" fontId="35" fillId="0" borderId="26" xfId="0" applyNumberFormat="1" applyFont="1" applyBorder="1" applyProtection="1">
      <protection hidden="1"/>
    </xf>
    <xf numFmtId="188" fontId="66" fillId="0" borderId="0" xfId="0" applyNumberFormat="1" applyFont="1" applyProtection="1">
      <protection hidden="1"/>
    </xf>
    <xf numFmtId="0" fontId="124" fillId="37" borderId="18" xfId="0" applyFont="1" applyFill="1" applyBorder="1" applyProtection="1">
      <protection hidden="1"/>
    </xf>
    <xf numFmtId="181" fontId="124" fillId="37" borderId="5" xfId="0" applyNumberFormat="1" applyFont="1" applyFill="1" applyBorder="1" applyAlignment="1" applyProtection="1">
      <alignment horizontal="right"/>
      <protection hidden="1"/>
    </xf>
    <xf numFmtId="181" fontId="124" fillId="37" borderId="26" xfId="0" applyNumberFormat="1" applyFont="1" applyFill="1" applyBorder="1" applyAlignment="1" applyProtection="1">
      <alignment horizontal="right"/>
      <protection hidden="1"/>
    </xf>
    <xf numFmtId="0" fontId="66" fillId="0" borderId="73" xfId="0" applyFont="1" applyBorder="1" applyProtection="1">
      <protection hidden="1"/>
    </xf>
    <xf numFmtId="181" fontId="35" fillId="24" borderId="74" xfId="0" applyNumberFormat="1" applyFont="1" applyFill="1" applyBorder="1" applyProtection="1">
      <protection hidden="1"/>
    </xf>
    <xf numFmtId="181" fontId="35" fillId="0" borderId="74" xfId="0" applyNumberFormat="1" applyFont="1" applyBorder="1" applyProtection="1">
      <protection hidden="1"/>
    </xf>
    <xf numFmtId="181" fontId="35" fillId="0" borderId="75" xfId="0" applyNumberFormat="1" applyFont="1" applyBorder="1" applyProtection="1">
      <protection hidden="1"/>
    </xf>
    <xf numFmtId="0" fontId="100" fillId="0" borderId="12" xfId="0" applyFont="1" applyBorder="1" applyAlignment="1" applyProtection="1">
      <alignment horizontal="center"/>
      <protection hidden="1"/>
    </xf>
    <xf numFmtId="181" fontId="47" fillId="0" borderId="12" xfId="0" applyNumberFormat="1" applyFont="1" applyBorder="1" applyProtection="1">
      <protection hidden="1"/>
    </xf>
    <xf numFmtId="181" fontId="47" fillId="0" borderId="57" xfId="0" applyNumberFormat="1" applyFont="1" applyBorder="1" applyProtection="1">
      <protection hidden="1"/>
    </xf>
    <xf numFmtId="0" fontId="47" fillId="24" borderId="53" xfId="0" applyFont="1" applyFill="1" applyBorder="1" applyProtection="1">
      <protection hidden="1"/>
    </xf>
    <xf numFmtId="181" fontId="35" fillId="24" borderId="96" xfId="0" applyNumberFormat="1" applyFont="1" applyFill="1" applyBorder="1" applyProtection="1">
      <protection hidden="1"/>
    </xf>
    <xf numFmtId="181" fontId="35" fillId="0" borderId="40" xfId="0" applyNumberFormat="1" applyFont="1" applyBorder="1" applyProtection="1">
      <protection hidden="1"/>
    </xf>
    <xf numFmtId="181" fontId="35" fillId="0" borderId="41" xfId="0" applyNumberFormat="1" applyFont="1" applyBorder="1" applyProtection="1">
      <protection hidden="1"/>
    </xf>
    <xf numFmtId="0" fontId="85" fillId="28" borderId="18" xfId="0" applyFont="1" applyFill="1" applyBorder="1" applyProtection="1">
      <protection hidden="1"/>
    </xf>
    <xf numFmtId="0" fontId="100" fillId="0" borderId="8" xfId="0" applyFont="1" applyBorder="1" applyAlignment="1" applyProtection="1">
      <alignment horizontal="center"/>
      <protection hidden="1"/>
    </xf>
    <xf numFmtId="181" fontId="35" fillId="0" borderId="13" xfId="0" applyNumberFormat="1" applyFont="1" applyBorder="1" applyProtection="1">
      <protection hidden="1"/>
    </xf>
    <xf numFmtId="181" fontId="35" fillId="0" borderId="47" xfId="0" applyNumberFormat="1" applyFont="1" applyBorder="1" applyProtection="1">
      <protection hidden="1"/>
    </xf>
    <xf numFmtId="0" fontId="66" fillId="0" borderId="50" xfId="0" applyFont="1" applyBorder="1" applyProtection="1">
      <protection hidden="1"/>
    </xf>
    <xf numFmtId="0" fontId="35" fillId="0" borderId="60" xfId="0" applyFont="1" applyBorder="1" applyProtection="1">
      <protection hidden="1"/>
    </xf>
    <xf numFmtId="181" fontId="35" fillId="0" borderId="22" xfId="0" applyNumberFormat="1" applyFont="1" applyBorder="1" applyProtection="1">
      <protection hidden="1"/>
    </xf>
    <xf numFmtId="181" fontId="35" fillId="0" borderId="39" xfId="0" applyNumberFormat="1" applyFont="1" applyBorder="1" applyProtection="1">
      <protection hidden="1"/>
    </xf>
    <xf numFmtId="0" fontId="124" fillId="37" borderId="53" xfId="0" applyFont="1" applyFill="1" applyBorder="1" applyProtection="1">
      <protection hidden="1"/>
    </xf>
    <xf numFmtId="181" fontId="130" fillId="0" borderId="40" xfId="0" applyNumberFormat="1" applyFont="1" applyBorder="1" applyProtection="1">
      <protection hidden="1"/>
    </xf>
    <xf numFmtId="181" fontId="124" fillId="37" borderId="27" xfId="0" applyNumberFormat="1" applyFont="1" applyFill="1" applyBorder="1" applyAlignment="1" applyProtection="1">
      <alignment horizontal="right"/>
      <protection hidden="1"/>
    </xf>
    <xf numFmtId="181" fontId="124" fillId="37" borderId="28" xfId="0" applyNumberFormat="1" applyFont="1" applyFill="1" applyBorder="1" applyAlignment="1" applyProtection="1">
      <alignment horizontal="right"/>
      <protection hidden="1"/>
    </xf>
    <xf numFmtId="0" fontId="47" fillId="24" borderId="51" xfId="0" applyFont="1" applyFill="1" applyBorder="1" applyProtection="1">
      <protection hidden="1"/>
    </xf>
    <xf numFmtId="181" fontId="35" fillId="24" borderId="11" xfId="0" applyNumberFormat="1" applyFont="1" applyFill="1" applyBorder="1" applyProtection="1">
      <protection hidden="1"/>
    </xf>
    <xf numFmtId="0" fontId="133" fillId="0" borderId="0" xfId="3" applyFont="1" applyBorder="1" applyAlignment="1" applyProtection="1">
      <alignment horizontal="center"/>
      <protection hidden="1"/>
    </xf>
    <xf numFmtId="0" fontId="35" fillId="0" borderId="32" xfId="0" applyFont="1" applyBorder="1" applyAlignment="1" applyProtection="1">
      <protection hidden="1"/>
    </xf>
    <xf numFmtId="181" fontId="74" fillId="0" borderId="33" xfId="0" applyNumberFormat="1" applyFont="1" applyBorder="1" applyAlignment="1" applyProtection="1">
      <protection hidden="1"/>
    </xf>
    <xf numFmtId="0" fontId="76" fillId="0" borderId="79" xfId="0" applyFont="1" applyBorder="1" applyProtection="1">
      <protection hidden="1"/>
    </xf>
    <xf numFmtId="181" fontId="124" fillId="16" borderId="71" xfId="0" applyNumberFormat="1" applyFont="1" applyFill="1" applyBorder="1" applyProtection="1">
      <protection hidden="1"/>
    </xf>
    <xf numFmtId="181" fontId="124" fillId="16" borderId="80" xfId="0" applyNumberFormat="1" applyFont="1" applyFill="1" applyBorder="1" applyProtection="1">
      <protection hidden="1"/>
    </xf>
    <xf numFmtId="181" fontId="124" fillId="16" borderId="36" xfId="0" applyNumberFormat="1" applyFont="1" applyFill="1" applyBorder="1" applyProtection="1">
      <protection hidden="1"/>
    </xf>
    <xf numFmtId="0" fontId="85" fillId="28" borderId="65" xfId="0" applyFont="1" applyFill="1" applyBorder="1" applyProtection="1">
      <protection hidden="1"/>
    </xf>
    <xf numFmtId="181" fontId="74" fillId="0" borderId="42" xfId="0" applyNumberFormat="1" applyFont="1" applyBorder="1" applyProtection="1">
      <protection hidden="1"/>
    </xf>
    <xf numFmtId="181" fontId="35" fillId="0" borderId="43" xfId="0" applyNumberFormat="1" applyFont="1" applyBorder="1" applyProtection="1">
      <protection hidden="1"/>
    </xf>
    <xf numFmtId="181" fontId="35" fillId="0" borderId="59" xfId="0" applyNumberFormat="1" applyFont="1" applyBorder="1" applyProtection="1">
      <protection hidden="1"/>
    </xf>
    <xf numFmtId="0" fontId="47" fillId="0" borderId="79" xfId="0" applyFont="1" applyBorder="1" applyProtection="1">
      <protection hidden="1"/>
    </xf>
    <xf numFmtId="0" fontId="110" fillId="0" borderId="18" xfId="0" applyFont="1" applyBorder="1" applyAlignment="1" applyProtection="1">
      <alignment horizontal="left"/>
      <protection hidden="1"/>
    </xf>
    <xf numFmtId="0" fontId="94" fillId="0" borderId="14" xfId="0" applyFont="1" applyBorder="1" applyAlignment="1" applyProtection="1">
      <alignment horizontal="center"/>
      <protection hidden="1"/>
    </xf>
    <xf numFmtId="0" fontId="110" fillId="0" borderId="11" xfId="0" applyFont="1" applyBorder="1" applyAlignment="1" applyProtection="1">
      <alignment horizontal="center"/>
      <protection hidden="1"/>
    </xf>
    <xf numFmtId="0" fontId="110" fillId="0" borderId="46" xfId="0" applyFont="1" applyBorder="1" applyAlignment="1" applyProtection="1">
      <alignment horizontal="center"/>
      <protection hidden="1"/>
    </xf>
    <xf numFmtId="0" fontId="66" fillId="0" borderId="98" xfId="0" applyFont="1" applyBorder="1" applyProtection="1">
      <protection hidden="1"/>
    </xf>
    <xf numFmtId="181" fontId="121" fillId="24" borderId="99" xfId="0" applyNumberFormat="1" applyFont="1" applyFill="1" applyBorder="1" applyProtection="1">
      <protection hidden="1"/>
    </xf>
    <xf numFmtId="181" fontId="121" fillId="0" borderId="99" xfId="0" applyNumberFormat="1" applyFont="1" applyBorder="1" applyProtection="1">
      <protection hidden="1"/>
    </xf>
    <xf numFmtId="181" fontId="121" fillId="0" borderId="100" xfId="0" applyNumberFormat="1" applyFont="1" applyBorder="1" applyProtection="1">
      <protection hidden="1"/>
    </xf>
    <xf numFmtId="181" fontId="121" fillId="0" borderId="101" xfId="0" applyNumberFormat="1" applyFont="1" applyBorder="1" applyProtection="1">
      <protection hidden="1"/>
    </xf>
    <xf numFmtId="0" fontId="54" fillId="23" borderId="102" xfId="0" applyFont="1" applyFill="1" applyBorder="1" applyProtection="1">
      <protection hidden="1"/>
    </xf>
    <xf numFmtId="181" fontId="54" fillId="23" borderId="103" xfId="0" applyNumberFormat="1" applyFont="1" applyFill="1" applyBorder="1" applyProtection="1">
      <protection hidden="1"/>
    </xf>
    <xf numFmtId="181" fontId="54" fillId="23" borderId="104" xfId="0" applyNumberFormat="1" applyFont="1" applyFill="1" applyBorder="1" applyProtection="1">
      <protection hidden="1"/>
    </xf>
    <xf numFmtId="181" fontId="54" fillId="23" borderId="105" xfId="0" applyNumberFormat="1" applyFont="1" applyFill="1" applyBorder="1" applyProtection="1">
      <protection hidden="1"/>
    </xf>
    <xf numFmtId="0" fontId="54" fillId="23" borderId="50" xfId="0" applyFont="1" applyFill="1" applyBorder="1" applyProtection="1">
      <protection hidden="1"/>
    </xf>
    <xf numFmtId="181" fontId="35" fillId="23" borderId="106" xfId="0" applyNumberFormat="1" applyFont="1" applyFill="1" applyBorder="1" applyProtection="1">
      <protection hidden="1"/>
    </xf>
    <xf numFmtId="181" fontId="124" fillId="23" borderId="106" xfId="0" applyNumberFormat="1" applyFont="1" applyFill="1" applyBorder="1" applyProtection="1">
      <protection hidden="1"/>
    </xf>
    <xf numFmtId="181" fontId="124" fillId="23" borderId="107" xfId="0" applyNumberFormat="1" applyFont="1" applyFill="1" applyBorder="1" applyProtection="1">
      <protection hidden="1"/>
    </xf>
    <xf numFmtId="181" fontId="100" fillId="0" borderId="5" xfId="0" applyNumberFormat="1" applyFont="1" applyBorder="1" applyAlignment="1" applyProtection="1">
      <alignment horizontal="center"/>
      <protection hidden="1"/>
    </xf>
    <xf numFmtId="0" fontId="54" fillId="23" borderId="32" xfId="0" applyFont="1" applyFill="1" applyBorder="1" applyProtection="1">
      <protection hidden="1"/>
    </xf>
    <xf numFmtId="181" fontId="54" fillId="23" borderId="33" xfId="0" applyNumberFormat="1" applyFont="1" applyFill="1" applyBorder="1" applyAlignment="1" applyProtection="1">
      <alignment horizontal="right"/>
      <protection hidden="1"/>
    </xf>
    <xf numFmtId="0" fontId="76" fillId="24" borderId="80" xfId="0" applyFont="1" applyFill="1" applyBorder="1" applyAlignment="1" applyProtection="1">
      <alignment horizontal="center"/>
      <protection hidden="1"/>
    </xf>
    <xf numFmtId="0" fontId="66" fillId="0" borderId="0" xfId="0" applyFont="1" applyProtection="1">
      <protection hidden="1"/>
    </xf>
    <xf numFmtId="0" fontId="124" fillId="37" borderId="51" xfId="0" applyFont="1" applyFill="1" applyBorder="1" applyProtection="1">
      <protection hidden="1"/>
    </xf>
    <xf numFmtId="181" fontId="134" fillId="0" borderId="5" xfId="0" applyNumberFormat="1" applyFont="1" applyBorder="1" applyAlignment="1" applyProtection="1">
      <alignment horizontal="center"/>
      <protection hidden="1"/>
    </xf>
    <xf numFmtId="181" fontId="124" fillId="37" borderId="11" xfId="0" applyNumberFormat="1" applyFont="1" applyFill="1" applyBorder="1" applyAlignment="1" applyProtection="1">
      <alignment horizontal="right"/>
      <protection hidden="1"/>
    </xf>
    <xf numFmtId="181" fontId="124" fillId="37" borderId="46" xfId="0" applyNumberFormat="1" applyFont="1" applyFill="1" applyBorder="1" applyAlignment="1" applyProtection="1">
      <alignment horizontal="right"/>
      <protection hidden="1"/>
    </xf>
    <xf numFmtId="181" fontId="66" fillId="16" borderId="80" xfId="0" applyNumberFormat="1" applyFont="1" applyFill="1" applyBorder="1" applyProtection="1">
      <protection hidden="1"/>
    </xf>
    <xf numFmtId="181" fontId="66" fillId="0" borderId="80" xfId="0" applyNumberFormat="1" applyFont="1" applyBorder="1" applyProtection="1">
      <protection hidden="1"/>
    </xf>
    <xf numFmtId="181" fontId="66" fillId="0" borderId="36" xfId="0" applyNumberFormat="1" applyFont="1" applyBorder="1" applyProtection="1">
      <protection hidden="1"/>
    </xf>
    <xf numFmtId="0" fontId="47" fillId="0" borderId="69" xfId="0" applyFont="1" applyBorder="1" applyProtection="1">
      <protection hidden="1"/>
    </xf>
    <xf numFmtId="181" fontId="134" fillId="0" borderId="4" xfId="0" applyNumberFormat="1" applyFont="1" applyBorder="1" applyAlignment="1" applyProtection="1">
      <alignment horizontal="center"/>
      <protection hidden="1"/>
    </xf>
    <xf numFmtId="0" fontId="35" fillId="0" borderId="4" xfId="0" applyFont="1" applyBorder="1" applyAlignment="1" applyProtection="1">
      <alignment horizontal="center"/>
      <protection hidden="1"/>
    </xf>
    <xf numFmtId="0" fontId="35" fillId="0" borderId="47" xfId="0" applyFont="1" applyBorder="1" applyAlignment="1" applyProtection="1">
      <alignment horizontal="center"/>
      <protection hidden="1"/>
    </xf>
    <xf numFmtId="0" fontId="35" fillId="0" borderId="79" xfId="0" applyFont="1" applyBorder="1" applyProtection="1">
      <protection hidden="1"/>
    </xf>
    <xf numFmtId="181" fontId="121" fillId="24" borderId="80" xfId="0" applyNumberFormat="1" applyFont="1" applyFill="1" applyBorder="1" applyProtection="1">
      <protection hidden="1"/>
    </xf>
    <xf numFmtId="0" fontId="76" fillId="0" borderId="38" xfId="0" applyFont="1" applyBorder="1" applyProtection="1">
      <protection hidden="1"/>
    </xf>
    <xf numFmtId="181" fontId="35" fillId="0" borderId="12" xfId="0" applyNumberFormat="1" applyFont="1" applyBorder="1" applyProtection="1">
      <protection hidden="1"/>
    </xf>
    <xf numFmtId="181" fontId="35" fillId="0" borderId="12" xfId="0" applyNumberFormat="1" applyFont="1" applyBorder="1" applyProtection="1">
      <protection hidden="1"/>
    </xf>
    <xf numFmtId="181" fontId="35" fillId="0" borderId="57" xfId="0" applyNumberFormat="1" applyFont="1" applyBorder="1" applyProtection="1">
      <protection hidden="1"/>
    </xf>
    <xf numFmtId="0" fontId="85" fillId="28" borderId="51" xfId="0" applyFont="1" applyFill="1" applyBorder="1" applyProtection="1">
      <protection hidden="1"/>
    </xf>
    <xf numFmtId="181" fontId="100" fillId="0" borderId="8" xfId="0" applyNumberFormat="1" applyFont="1" applyBorder="1" applyAlignment="1" applyProtection="1">
      <alignment horizontal="center"/>
      <protection hidden="1"/>
    </xf>
    <xf numFmtId="181" fontId="35" fillId="0" borderId="4" xfId="0" applyNumberFormat="1" applyFont="1" applyBorder="1" applyProtection="1">
      <protection hidden="1"/>
    </xf>
    <xf numFmtId="181" fontId="35" fillId="0" borderId="36" xfId="0" applyNumberFormat="1" applyFont="1" applyBorder="1" applyProtection="1">
      <protection hidden="1"/>
    </xf>
    <xf numFmtId="0" fontId="55" fillId="37" borderId="32" xfId="0" applyFont="1" applyFill="1" applyBorder="1" applyProtection="1">
      <protection hidden="1"/>
    </xf>
    <xf numFmtId="189" fontId="55" fillId="37" borderId="0" xfId="0" applyNumberFormat="1" applyFont="1" applyFill="1" applyBorder="1" applyAlignment="1" applyProtection="1">
      <alignment horizontal="right"/>
      <protection hidden="1"/>
    </xf>
    <xf numFmtId="189" fontId="55" fillId="37" borderId="0" xfId="0" applyNumberFormat="1" applyFont="1" applyFill="1" applyBorder="1" applyProtection="1">
      <protection hidden="1"/>
    </xf>
    <xf numFmtId="189" fontId="55" fillId="37" borderId="81" xfId="0" applyNumberFormat="1" applyFont="1" applyFill="1" applyBorder="1" applyProtection="1">
      <protection hidden="1"/>
    </xf>
    <xf numFmtId="181" fontId="100" fillId="0" borderId="11" xfId="0" applyNumberFormat="1" applyFont="1" applyBorder="1" applyAlignment="1" applyProtection="1">
      <alignment horizontal="center"/>
      <protection hidden="1"/>
    </xf>
    <xf numFmtId="181" fontId="134" fillId="0" borderId="40" xfId="0" applyNumberFormat="1" applyFont="1" applyBorder="1" applyAlignment="1" applyProtection="1">
      <alignment horizontal="center"/>
      <protection hidden="1"/>
    </xf>
    <xf numFmtId="0" fontId="66" fillId="0" borderId="98" xfId="0" applyFont="1" applyBorder="1" applyProtection="1">
      <protection hidden="1"/>
    </xf>
    <xf numFmtId="181" fontId="121" fillId="24" borderId="100" xfId="0" applyNumberFormat="1" applyFont="1" applyFill="1" applyBorder="1" applyProtection="1">
      <protection hidden="1"/>
    </xf>
    <xf numFmtId="181" fontId="121" fillId="24" borderId="108" xfId="0" applyNumberFormat="1" applyFont="1" applyFill="1" applyBorder="1" applyProtection="1">
      <protection hidden="1"/>
    </xf>
    <xf numFmtId="181" fontId="121" fillId="0" borderId="108" xfId="0" applyNumberFormat="1" applyFont="1" applyBorder="1" applyProtection="1">
      <protection hidden="1"/>
    </xf>
    <xf numFmtId="181" fontId="121" fillId="0" borderId="56" xfId="0" applyNumberFormat="1" applyFont="1" applyBorder="1" applyProtection="1">
      <protection hidden="1"/>
    </xf>
    <xf numFmtId="0" fontId="47" fillId="24" borderId="109" xfId="0" applyFont="1" applyFill="1" applyBorder="1" applyProtection="1">
      <protection hidden="1"/>
    </xf>
    <xf numFmtId="181" fontId="121" fillId="24" borderId="104" xfId="0" applyNumberFormat="1" applyFont="1" applyFill="1" applyBorder="1" applyProtection="1">
      <protection hidden="1"/>
    </xf>
    <xf numFmtId="181" fontId="121" fillId="0" borderId="110" xfId="0" applyNumberFormat="1" applyFont="1" applyBorder="1" applyProtection="1">
      <protection hidden="1"/>
    </xf>
    <xf numFmtId="181" fontId="121" fillId="0" borderId="34" xfId="0" applyNumberFormat="1" applyFont="1" applyBorder="1" applyProtection="1">
      <protection hidden="1"/>
    </xf>
    <xf numFmtId="181" fontId="121" fillId="0" borderId="111" xfId="0" applyNumberFormat="1" applyFont="1" applyBorder="1" applyProtection="1">
      <protection hidden="1"/>
    </xf>
    <xf numFmtId="181" fontId="121" fillId="0" borderId="47" xfId="0" applyNumberFormat="1" applyFont="1" applyBorder="1" applyProtection="1">
      <protection hidden="1"/>
    </xf>
    <xf numFmtId="181" fontId="121" fillId="0" borderId="112" xfId="0" applyNumberFormat="1" applyFont="1" applyBorder="1" applyProtection="1">
      <protection hidden="1"/>
    </xf>
    <xf numFmtId="0" fontId="66" fillId="0" borderId="86" xfId="0" applyFont="1" applyBorder="1" applyProtection="1">
      <protection hidden="1"/>
    </xf>
    <xf numFmtId="181" fontId="121" fillId="24" borderId="88" xfId="0" applyNumberFormat="1" applyFont="1" applyFill="1" applyBorder="1" applyProtection="1">
      <protection hidden="1"/>
    </xf>
    <xf numFmtId="181" fontId="121" fillId="0" borderId="88" xfId="0" applyNumberFormat="1" applyFont="1" applyBorder="1" applyProtection="1">
      <protection hidden="1"/>
    </xf>
    <xf numFmtId="181" fontId="121" fillId="0" borderId="59" xfId="0" applyNumberFormat="1" applyFont="1" applyBorder="1" applyProtection="1">
      <protection hidden="1"/>
    </xf>
    <xf numFmtId="181" fontId="121" fillId="24" borderId="111" xfId="0" applyNumberFormat="1" applyFont="1" applyFill="1" applyBorder="1" applyProtection="1">
      <protection hidden="1"/>
    </xf>
    <xf numFmtId="181" fontId="121" fillId="0" borderId="14" xfId="0" applyNumberFormat="1" applyFont="1" applyBorder="1" applyProtection="1">
      <protection hidden="1"/>
    </xf>
    <xf numFmtId="0" fontId="66" fillId="4" borderId="79" xfId="0" applyFont="1" applyFill="1" applyBorder="1" applyProtection="1">
      <protection hidden="1"/>
    </xf>
    <xf numFmtId="181" fontId="121" fillId="4" borderId="80" xfId="0" applyNumberFormat="1" applyFont="1" applyFill="1" applyBorder="1" applyProtection="1">
      <protection hidden="1"/>
    </xf>
    <xf numFmtId="181" fontId="121" fillId="4" borderId="36" xfId="0" applyNumberFormat="1" applyFont="1" applyFill="1" applyBorder="1" applyProtection="1">
      <protection hidden="1"/>
    </xf>
    <xf numFmtId="0" fontId="66" fillId="0" borderId="79" xfId="0" applyFont="1" applyBorder="1" applyAlignment="1" applyProtection="1">
      <alignment wrapText="1"/>
      <protection hidden="1"/>
    </xf>
    <xf numFmtId="181" fontId="121" fillId="0" borderId="57" xfId="0" applyNumberFormat="1" applyFont="1" applyBorder="1" applyProtection="1">
      <protection hidden="1"/>
    </xf>
    <xf numFmtId="0" fontId="68" fillId="0" borderId="98" xfId="0" applyFont="1" applyBorder="1" applyProtection="1">
      <protection hidden="1"/>
    </xf>
    <xf numFmtId="0" fontId="66" fillId="0" borderId="94" xfId="0" applyFont="1" applyBorder="1" applyProtection="1">
      <protection hidden="1"/>
    </xf>
    <xf numFmtId="181" fontId="120" fillId="0" borderId="108" xfId="0" applyNumberFormat="1" applyFont="1" applyBorder="1" applyProtection="1">
      <protection hidden="1"/>
    </xf>
    <xf numFmtId="181" fontId="120" fillId="4" borderId="108" xfId="0" applyNumberFormat="1" applyFont="1" applyFill="1" applyBorder="1" applyProtection="1">
      <protection hidden="1"/>
    </xf>
    <xf numFmtId="181" fontId="120" fillId="4" borderId="56" xfId="0" applyNumberFormat="1" applyFont="1" applyFill="1" applyBorder="1" applyProtection="1">
      <protection hidden="1"/>
    </xf>
    <xf numFmtId="0" fontId="54" fillId="23" borderId="82" xfId="0" applyFont="1" applyFill="1" applyBorder="1" applyProtection="1">
      <protection hidden="1"/>
    </xf>
    <xf numFmtId="181" fontId="54" fillId="23" borderId="84" xfId="0" applyNumberFormat="1" applyFont="1" applyFill="1" applyBorder="1" applyProtection="1">
      <protection hidden="1"/>
    </xf>
    <xf numFmtId="181" fontId="54" fillId="23" borderId="64" xfId="0" applyNumberFormat="1" applyFont="1" applyFill="1" applyBorder="1" applyProtection="1">
      <protection hidden="1"/>
    </xf>
    <xf numFmtId="0" fontId="35" fillId="0" borderId="98" xfId="0" applyFont="1" applyBorder="1" applyProtection="1">
      <protection hidden="1"/>
    </xf>
    <xf numFmtId="181" fontId="135" fillId="24" borderId="100" xfId="0" applyNumberFormat="1" applyFont="1" applyFill="1" applyBorder="1" applyProtection="1">
      <protection hidden="1"/>
    </xf>
    <xf numFmtId="0" fontId="121" fillId="0" borderId="100" xfId="0" applyFont="1" applyBorder="1" applyProtection="1">
      <protection hidden="1"/>
    </xf>
    <xf numFmtId="181" fontId="121" fillId="0" borderId="100" xfId="0" applyNumberFormat="1" applyFont="1" applyBorder="1" applyProtection="1">
      <protection hidden="1"/>
    </xf>
    <xf numFmtId="181" fontId="121" fillId="0" borderId="99" xfId="0" applyNumberFormat="1" applyFont="1" applyBorder="1" applyProtection="1">
      <protection hidden="1"/>
    </xf>
    <xf numFmtId="181" fontId="121" fillId="0" borderId="101" xfId="0" applyNumberFormat="1" applyFont="1" applyBorder="1" applyProtection="1">
      <protection hidden="1"/>
    </xf>
    <xf numFmtId="0" fontId="35" fillId="0" borderId="89" xfId="0" applyFont="1" applyBorder="1" applyProtection="1">
      <protection hidden="1"/>
    </xf>
    <xf numFmtId="0" fontId="121" fillId="24" borderId="111" xfId="0" applyFont="1" applyFill="1" applyBorder="1" applyProtection="1">
      <protection hidden="1"/>
    </xf>
    <xf numFmtId="0" fontId="121" fillId="0" borderId="111" xfId="0" applyFont="1" applyBorder="1" applyProtection="1">
      <protection hidden="1"/>
    </xf>
    <xf numFmtId="181" fontId="121" fillId="0" borderId="113" xfId="0" applyNumberFormat="1" applyFont="1" applyBorder="1" applyProtection="1">
      <protection hidden="1"/>
    </xf>
    <xf numFmtId="0" fontId="35" fillId="0" borderId="94" xfId="0" applyFont="1" applyBorder="1" applyProtection="1">
      <protection hidden="1"/>
    </xf>
    <xf numFmtId="0" fontId="121" fillId="24" borderId="108" xfId="0" applyFont="1" applyFill="1" applyBorder="1" applyProtection="1">
      <protection hidden="1"/>
    </xf>
    <xf numFmtId="181" fontId="121" fillId="0" borderId="108" xfId="0" applyNumberFormat="1" applyFont="1" applyBorder="1" applyProtection="1">
      <protection hidden="1"/>
    </xf>
    <xf numFmtId="181" fontId="121" fillId="0" borderId="114" xfId="0" applyNumberFormat="1" applyFont="1" applyBorder="1" applyProtection="1">
      <protection hidden="1"/>
    </xf>
    <xf numFmtId="181" fontId="121" fillId="0" borderId="56" xfId="0" applyNumberFormat="1" applyFont="1" applyBorder="1" applyProtection="1">
      <protection hidden="1"/>
    </xf>
    <xf numFmtId="4" fontId="66" fillId="0" borderId="0" xfId="0" applyNumberFormat="1" applyFont="1" applyProtection="1">
      <protection hidden="1"/>
    </xf>
    <xf numFmtId="0" fontId="47" fillId="0" borderId="79" xfId="0" applyFont="1" applyBorder="1" applyProtection="1">
      <protection hidden="1"/>
    </xf>
    <xf numFmtId="181" fontId="135" fillId="24" borderId="80" xfId="0" applyNumberFormat="1" applyFont="1" applyFill="1" applyBorder="1" applyProtection="1">
      <protection hidden="1"/>
    </xf>
    <xf numFmtId="187" fontId="121" fillId="0" borderId="80" xfId="0" applyNumberFormat="1" applyFont="1" applyBorder="1" applyProtection="1">
      <protection hidden="1"/>
    </xf>
    <xf numFmtId="187" fontId="121" fillId="0" borderId="71" xfId="0" applyNumberFormat="1" applyFont="1" applyBorder="1" applyProtection="1">
      <protection hidden="1"/>
    </xf>
    <xf numFmtId="187" fontId="121" fillId="0" borderId="36" xfId="0" applyNumberFormat="1" applyFont="1" applyBorder="1" applyProtection="1">
      <protection hidden="1"/>
    </xf>
    <xf numFmtId="0" fontId="35" fillId="0" borderId="79" xfId="0" applyFont="1" applyBorder="1" applyProtection="1">
      <protection hidden="1"/>
    </xf>
    <xf numFmtId="181" fontId="35" fillId="0" borderId="94" xfId="0" applyNumberFormat="1" applyFont="1" applyBorder="1" applyProtection="1">
      <protection hidden="1"/>
    </xf>
    <xf numFmtId="181" fontId="121" fillId="0" borderId="114" xfId="0" applyNumberFormat="1" applyFont="1" applyBorder="1" applyProtection="1">
      <protection hidden="1"/>
    </xf>
    <xf numFmtId="0" fontId="35" fillId="0" borderId="89" xfId="0" applyFont="1" applyBorder="1" applyProtection="1">
      <protection hidden="1"/>
    </xf>
    <xf numFmtId="181" fontId="121" fillId="0" borderId="111" xfId="8" applyNumberFormat="1" applyFont="1" applyBorder="1" applyAlignment="1" applyProtection="1">
      <protection hidden="1"/>
    </xf>
    <xf numFmtId="0" fontId="121" fillId="0" borderId="111" xfId="0" applyFont="1" applyBorder="1" applyProtection="1">
      <protection hidden="1"/>
    </xf>
    <xf numFmtId="0" fontId="121" fillId="0" borderId="113" xfId="0" applyFont="1" applyBorder="1" applyProtection="1">
      <protection hidden="1"/>
    </xf>
    <xf numFmtId="0" fontId="121" fillId="0" borderId="47" xfId="0" applyFont="1" applyBorder="1" applyProtection="1">
      <protection hidden="1"/>
    </xf>
    <xf numFmtId="181" fontId="121" fillId="0" borderId="113" xfId="8" applyNumberFormat="1" applyFont="1" applyBorder="1" applyAlignment="1" applyProtection="1">
      <protection hidden="1"/>
    </xf>
    <xf numFmtId="181" fontId="121" fillId="0" borderId="47" xfId="8" applyNumberFormat="1" applyFont="1" applyBorder="1" applyAlignment="1" applyProtection="1">
      <protection hidden="1"/>
    </xf>
    <xf numFmtId="0" fontId="121" fillId="0" borderId="80" xfId="0" applyFont="1" applyBorder="1" applyProtection="1">
      <protection hidden="1"/>
    </xf>
    <xf numFmtId="0" fontId="121" fillId="0" borderId="71" xfId="0" applyFont="1" applyBorder="1" applyProtection="1">
      <protection hidden="1"/>
    </xf>
    <xf numFmtId="0" fontId="121" fillId="0" borderId="36" xfId="0" applyFont="1" applyBorder="1" applyProtection="1">
      <protection hidden="1"/>
    </xf>
    <xf numFmtId="0" fontId="35" fillId="0" borderId="94" xfId="0" applyFont="1" applyBorder="1" applyProtection="1">
      <protection hidden="1"/>
    </xf>
    <xf numFmtId="0" fontId="121" fillId="0" borderId="108" xfId="0" applyFont="1" applyBorder="1" applyProtection="1">
      <protection hidden="1"/>
    </xf>
    <xf numFmtId="0" fontId="121" fillId="0" borderId="114" xfId="0" applyFont="1" applyBorder="1" applyProtection="1">
      <protection hidden="1"/>
    </xf>
    <xf numFmtId="0" fontId="121" fillId="0" borderId="56" xfId="0" applyFont="1" applyBorder="1" applyProtection="1">
      <protection hidden="1"/>
    </xf>
    <xf numFmtId="0" fontId="121" fillId="0" borderId="80" xfId="0" applyFont="1" applyBorder="1" applyProtection="1">
      <protection hidden="1"/>
    </xf>
    <xf numFmtId="0" fontId="121" fillId="0" borderId="71" xfId="0" applyFont="1" applyBorder="1" applyProtection="1">
      <protection hidden="1"/>
    </xf>
    <xf numFmtId="0" fontId="121" fillId="0" borderId="36" xfId="0" applyFont="1" applyBorder="1" applyProtection="1">
      <protection hidden="1"/>
    </xf>
    <xf numFmtId="0" fontId="35" fillId="0" borderId="115" xfId="0" applyFont="1" applyBorder="1" applyProtection="1">
      <protection hidden="1"/>
    </xf>
    <xf numFmtId="181" fontId="121" fillId="24" borderId="112" xfId="0" applyNumberFormat="1" applyFont="1" applyFill="1" applyBorder="1" applyProtection="1">
      <protection hidden="1"/>
    </xf>
    <xf numFmtId="181" fontId="121" fillId="0" borderId="116" xfId="0" applyNumberFormat="1" applyFont="1" applyBorder="1" applyProtection="1">
      <protection hidden="1"/>
    </xf>
    <xf numFmtId="181" fontId="121" fillId="0" borderId="116" xfId="0" applyNumberFormat="1" applyFont="1" applyBorder="1" applyProtection="1">
      <protection hidden="1"/>
    </xf>
    <xf numFmtId="181" fontId="121" fillId="0" borderId="117" xfId="0" applyNumberFormat="1" applyFont="1" applyBorder="1" applyProtection="1">
      <protection hidden="1"/>
    </xf>
    <xf numFmtId="181" fontId="121" fillId="0" borderId="118" xfId="0" applyNumberFormat="1" applyFont="1" applyBorder="1" applyProtection="1">
      <protection hidden="1"/>
    </xf>
    <xf numFmtId="49" fontId="47" fillId="24" borderId="89" xfId="0" applyNumberFormat="1" applyFont="1" applyFill="1" applyBorder="1" applyProtection="1">
      <protection hidden="1"/>
    </xf>
    <xf numFmtId="181" fontId="124" fillId="24" borderId="111" xfId="0" applyNumberFormat="1" applyFont="1" applyFill="1" applyBorder="1" applyProtection="1">
      <protection hidden="1"/>
    </xf>
    <xf numFmtId="181" fontId="124" fillId="24" borderId="113" xfId="0" applyNumberFormat="1" applyFont="1" applyFill="1" applyBorder="1" applyProtection="1">
      <protection hidden="1"/>
    </xf>
    <xf numFmtId="181" fontId="124" fillId="24" borderId="47" xfId="0" applyNumberFormat="1" applyFont="1" applyFill="1" applyBorder="1" applyProtection="1">
      <protection hidden="1"/>
    </xf>
    <xf numFmtId="0" fontId="47" fillId="0" borderId="79" xfId="0" applyFont="1" applyBorder="1" applyProtection="1">
      <protection hidden="1"/>
    </xf>
    <xf numFmtId="181" fontId="135" fillId="24" borderId="111" xfId="0" applyNumberFormat="1" applyFont="1" applyFill="1" applyBorder="1" applyProtection="1">
      <protection hidden="1"/>
    </xf>
    <xf numFmtId="0" fontId="35" fillId="0" borderId="79" xfId="0" applyFont="1" applyBorder="1" applyProtection="1">
      <protection hidden="1"/>
    </xf>
    <xf numFmtId="49" fontId="47" fillId="0" borderId="79" xfId="0" applyNumberFormat="1" applyFont="1" applyBorder="1" applyProtection="1">
      <protection hidden="1"/>
    </xf>
    <xf numFmtId="181" fontId="124" fillId="24" borderId="80" xfId="0" applyNumberFormat="1" applyFont="1" applyFill="1" applyBorder="1" applyProtection="1">
      <protection hidden="1"/>
    </xf>
    <xf numFmtId="181" fontId="136" fillId="0" borderId="80" xfId="0" applyNumberFormat="1" applyFont="1" applyBorder="1" applyProtection="1">
      <protection hidden="1"/>
    </xf>
    <xf numFmtId="181" fontId="136" fillId="0" borderId="71" xfId="0" applyNumberFormat="1" applyFont="1" applyBorder="1" applyProtection="1">
      <protection hidden="1"/>
    </xf>
    <xf numFmtId="181" fontId="136" fillId="0" borderId="36" xfId="0" applyNumberFormat="1" applyFont="1" applyBorder="1" applyProtection="1">
      <protection hidden="1"/>
    </xf>
    <xf numFmtId="0" fontId="35" fillId="0" borderId="94" xfId="0" applyFont="1" applyBorder="1" applyProtection="1">
      <protection hidden="1"/>
    </xf>
    <xf numFmtId="189" fontId="121" fillId="24" borderId="108" xfId="0" applyNumberFormat="1" applyFont="1" applyFill="1" applyBorder="1" applyProtection="1">
      <protection hidden="1"/>
    </xf>
    <xf numFmtId="189" fontId="121" fillId="24" borderId="80" xfId="0" applyNumberFormat="1" applyFont="1" applyFill="1" applyBorder="1" applyProtection="1">
      <protection hidden="1"/>
    </xf>
    <xf numFmtId="0" fontId="35" fillId="0" borderId="98" xfId="0" applyFont="1" applyBorder="1" applyProtection="1">
      <protection hidden="1"/>
    </xf>
    <xf numFmtId="189" fontId="121" fillId="24" borderId="100" xfId="0" applyNumberFormat="1" applyFont="1" applyFill="1" applyBorder="1" applyProtection="1">
      <protection hidden="1"/>
    </xf>
    <xf numFmtId="0" fontId="76" fillId="0" borderId="94" xfId="0" applyFont="1" applyBorder="1" applyProtection="1">
      <protection hidden="1"/>
    </xf>
    <xf numFmtId="189" fontId="66" fillId="0" borderId="108" xfId="0" applyNumberFormat="1" applyFont="1" applyBorder="1" applyProtection="1">
      <protection hidden="1"/>
    </xf>
    <xf numFmtId="181" fontId="66" fillId="0" borderId="108" xfId="0" applyNumberFormat="1" applyFont="1" applyBorder="1" applyProtection="1">
      <protection hidden="1"/>
    </xf>
    <xf numFmtId="181" fontId="66" fillId="0" borderId="114" xfId="0" applyNumberFormat="1" applyFont="1" applyBorder="1" applyProtection="1">
      <protection hidden="1"/>
    </xf>
    <xf numFmtId="181" fontId="66" fillId="0" borderId="0" xfId="0" applyNumberFormat="1" applyFont="1" applyProtection="1">
      <protection hidden="1"/>
    </xf>
    <xf numFmtId="0" fontId="120" fillId="0" borderId="79" xfId="0" applyFont="1" applyBorder="1" applyProtection="1">
      <protection hidden="1"/>
    </xf>
    <xf numFmtId="189" fontId="35" fillId="0" borderId="80" xfId="0" applyNumberFormat="1" applyFont="1" applyBorder="1" applyProtection="1">
      <protection hidden="1"/>
    </xf>
    <xf numFmtId="189" fontId="35" fillId="0" borderId="71" xfId="0" applyNumberFormat="1" applyFont="1" applyBorder="1" applyProtection="1">
      <protection hidden="1"/>
    </xf>
    <xf numFmtId="189" fontId="35" fillId="0" borderId="36" xfId="0" applyNumberFormat="1" applyFont="1" applyBorder="1" applyProtection="1">
      <protection hidden="1"/>
    </xf>
    <xf numFmtId="0" fontId="55" fillId="21" borderId="109" xfId="0" applyFont="1" applyFill="1" applyBorder="1" applyProtection="1">
      <protection hidden="1"/>
    </xf>
    <xf numFmtId="189" fontId="55" fillId="21" borderId="110" xfId="0" applyNumberFormat="1" applyFont="1" applyFill="1" applyBorder="1" applyProtection="1">
      <protection hidden="1"/>
    </xf>
    <xf numFmtId="189" fontId="55" fillId="21" borderId="78" xfId="0" applyNumberFormat="1" applyFont="1" applyFill="1" applyBorder="1" applyProtection="1">
      <protection hidden="1"/>
    </xf>
    <xf numFmtId="189" fontId="55" fillId="21" borderId="119" xfId="0" applyNumberFormat="1" applyFont="1" applyFill="1" applyBorder="1" applyProtection="1">
      <protection hidden="1"/>
    </xf>
    <xf numFmtId="189" fontId="55" fillId="21" borderId="34" xfId="0" applyNumberFormat="1" applyFont="1" applyFill="1" applyBorder="1" applyProtection="1">
      <protection hidden="1"/>
    </xf>
    <xf numFmtId="181" fontId="71" fillId="0" borderId="0" xfId="0" applyNumberFormat="1" applyFont="1" applyBorder="1" applyProtection="1">
      <protection hidden="1"/>
    </xf>
    <xf numFmtId="0" fontId="68" fillId="0" borderId="0" xfId="0" applyFont="1" applyBorder="1" applyProtection="1">
      <protection hidden="1"/>
    </xf>
    <xf numFmtId="181" fontId="68" fillId="0" borderId="0" xfId="0" applyNumberFormat="1" applyFont="1" applyBorder="1" applyProtection="1">
      <protection hidden="1"/>
    </xf>
    <xf numFmtId="0" fontId="124" fillId="0" borderId="0" xfId="0" applyFont="1" applyBorder="1" applyProtection="1">
      <protection hidden="1"/>
    </xf>
    <xf numFmtId="181" fontId="124" fillId="0" borderId="0" xfId="0" applyNumberFormat="1" applyFont="1" applyBorder="1" applyProtection="1">
      <protection hidden="1"/>
    </xf>
    <xf numFmtId="0" fontId="76" fillId="0" borderId="5" xfId="0" applyFont="1" applyBorder="1" applyAlignment="1" applyProtection="1">
      <alignment horizontal="center"/>
      <protection hidden="1"/>
    </xf>
    <xf numFmtId="181" fontId="78" fillId="0" borderId="5" xfId="0" applyNumberFormat="1" applyFont="1" applyBorder="1" applyProtection="1">
      <protection hidden="1"/>
    </xf>
    <xf numFmtId="181" fontId="78" fillId="0" borderId="26" xfId="0" applyNumberFormat="1" applyFont="1" applyBorder="1" applyProtection="1">
      <protection hidden="1"/>
    </xf>
    <xf numFmtId="0" fontId="66" fillId="0" borderId="37" xfId="0" applyFont="1" applyBorder="1" applyProtection="1">
      <protection hidden="1"/>
    </xf>
    <xf numFmtId="0" fontId="66" fillId="0" borderId="73" xfId="0" applyFont="1" applyBorder="1" applyProtection="1">
      <protection hidden="1"/>
    </xf>
    <xf numFmtId="181" fontId="35" fillId="0" borderId="74" xfId="0" applyNumberFormat="1" applyFont="1" applyBorder="1" applyProtection="1">
      <protection hidden="1"/>
    </xf>
    <xf numFmtId="181" fontId="35" fillId="0" borderId="75" xfId="0" applyNumberFormat="1" applyFont="1" applyBorder="1" applyProtection="1">
      <protection hidden="1"/>
    </xf>
    <xf numFmtId="181" fontId="78" fillId="0" borderId="95" xfId="0" applyNumberFormat="1" applyFont="1" applyBorder="1" applyProtection="1">
      <protection hidden="1"/>
    </xf>
    <xf numFmtId="181" fontId="78" fillId="0" borderId="120" xfId="0" applyNumberFormat="1" applyFont="1" applyBorder="1" applyProtection="1">
      <protection hidden="1"/>
    </xf>
    <xf numFmtId="181" fontId="78" fillId="0" borderId="0" xfId="0" applyNumberFormat="1" applyFont="1" applyBorder="1" applyProtection="1">
      <protection hidden="1"/>
    </xf>
    <xf numFmtId="181" fontId="78" fillId="0" borderId="56" xfId="0" applyNumberFormat="1" applyFont="1" applyBorder="1" applyProtection="1">
      <protection hidden="1"/>
    </xf>
    <xf numFmtId="0" fontId="124" fillId="5" borderId="21" xfId="0" applyFont="1" applyFill="1" applyBorder="1" applyProtection="1">
      <protection hidden="1"/>
    </xf>
    <xf numFmtId="181" fontId="124" fillId="5" borderId="27" xfId="0" applyNumberFormat="1" applyFont="1" applyFill="1" applyBorder="1" applyProtection="1">
      <protection hidden="1"/>
    </xf>
    <xf numFmtId="181" fontId="124" fillId="5" borderId="28" xfId="0" applyNumberFormat="1" applyFont="1" applyFill="1" applyBorder="1" applyProtection="1">
      <protection hidden="1"/>
    </xf>
    <xf numFmtId="0" fontId="124" fillId="0" borderId="32" xfId="0" applyFont="1" applyBorder="1" applyProtection="1">
      <protection hidden="1"/>
    </xf>
    <xf numFmtId="181" fontId="78" fillId="0" borderId="22" xfId="0" applyNumberFormat="1" applyFont="1" applyBorder="1" applyProtection="1">
      <protection hidden="1"/>
    </xf>
    <xf numFmtId="181" fontId="78" fillId="0" borderId="39" xfId="0" applyNumberFormat="1" applyFont="1" applyBorder="1" applyProtection="1">
      <protection hidden="1"/>
    </xf>
    <xf numFmtId="0" fontId="66" fillId="0" borderId="121" xfId="0" applyFont="1" applyBorder="1" applyProtection="1">
      <protection hidden="1"/>
    </xf>
    <xf numFmtId="181" fontId="35" fillId="24" borderId="27" xfId="0" applyNumberFormat="1" applyFont="1" applyFill="1" applyBorder="1" applyProtection="1">
      <protection hidden="1"/>
    </xf>
    <xf numFmtId="181" fontId="35" fillId="0" borderId="27" xfId="0" applyNumberFormat="1" applyFont="1" applyBorder="1" applyProtection="1">
      <protection hidden="1"/>
    </xf>
    <xf numFmtId="181" fontId="35" fillId="0" borderId="28" xfId="0" applyNumberFormat="1" applyFont="1" applyBorder="1" applyProtection="1">
      <protection hidden="1"/>
    </xf>
    <xf numFmtId="181" fontId="35" fillId="24" borderId="0" xfId="0" applyNumberFormat="1" applyFont="1" applyFill="1" applyBorder="1" applyProtection="1">
      <protection hidden="1"/>
    </xf>
    <xf numFmtId="181" fontId="78" fillId="0" borderId="11" xfId="0" applyNumberFormat="1" applyFont="1" applyBorder="1" applyProtection="1">
      <protection hidden="1"/>
    </xf>
    <xf numFmtId="181" fontId="78" fillId="0" borderId="46" xfId="0" applyNumberFormat="1" applyFont="1" applyBorder="1" applyProtection="1">
      <protection hidden="1"/>
    </xf>
    <xf numFmtId="0" fontId="66" fillId="0" borderId="51" xfId="0" applyFont="1" applyBorder="1" applyProtection="1">
      <protection hidden="1"/>
    </xf>
    <xf numFmtId="181" fontId="35" fillId="24" borderId="122" xfId="0" applyNumberFormat="1" applyFont="1" applyFill="1" applyBorder="1" applyProtection="1">
      <protection hidden="1"/>
    </xf>
    <xf numFmtId="0" fontId="66" fillId="0" borderId="60" xfId="0" applyFont="1" applyBorder="1" applyProtection="1">
      <protection hidden="1"/>
    </xf>
    <xf numFmtId="181" fontId="35" fillId="16" borderId="0" xfId="0" applyNumberFormat="1" applyFont="1" applyFill="1" applyBorder="1" applyProtection="1">
      <protection hidden="1"/>
    </xf>
    <xf numFmtId="181" fontId="78" fillId="0" borderId="74" xfId="0" applyNumberFormat="1" applyFont="1" applyBorder="1" applyProtection="1">
      <protection hidden="1"/>
    </xf>
    <xf numFmtId="181" fontId="78" fillId="0" borderId="75" xfId="0" applyNumberFormat="1" applyFont="1" applyBorder="1" applyProtection="1">
      <protection hidden="1"/>
    </xf>
    <xf numFmtId="181" fontId="78" fillId="0" borderId="20" xfId="0" applyNumberFormat="1" applyFont="1" applyBorder="1" applyProtection="1">
      <protection hidden="1"/>
    </xf>
    <xf numFmtId="181" fontId="78" fillId="0" borderId="61" xfId="0" applyNumberFormat="1" applyFont="1" applyBorder="1" applyProtection="1">
      <protection hidden="1"/>
    </xf>
    <xf numFmtId="0" fontId="124" fillId="5" borderId="123" xfId="0" applyFont="1" applyFill="1" applyBorder="1" applyProtection="1">
      <protection hidden="1"/>
    </xf>
    <xf numFmtId="181" fontId="124" fillId="5" borderId="33" xfId="0" applyNumberFormat="1" applyFont="1" applyFill="1" applyBorder="1" applyProtection="1">
      <protection hidden="1"/>
    </xf>
    <xf numFmtId="181" fontId="124" fillId="5" borderId="96" xfId="0" applyNumberFormat="1" applyFont="1" applyFill="1" applyBorder="1" applyProtection="1">
      <protection hidden="1"/>
    </xf>
    <xf numFmtId="181" fontId="124" fillId="5" borderId="124" xfId="0" applyNumberFormat="1" applyFont="1" applyFill="1" applyBorder="1" applyProtection="1">
      <protection hidden="1"/>
    </xf>
    <xf numFmtId="0" fontId="92" fillId="0" borderId="0" xfId="0" applyFont="1" applyBorder="1" applyProtection="1">
      <protection hidden="1"/>
    </xf>
    <xf numFmtId="0" fontId="96" fillId="0" borderId="0" xfId="0" applyFont="1" applyBorder="1" applyProtection="1">
      <protection hidden="1"/>
    </xf>
    <xf numFmtId="0" fontId="137" fillId="0" borderId="0" xfId="0" applyFont="1" applyBorder="1" applyProtection="1">
      <protection hidden="1"/>
    </xf>
    <xf numFmtId="181" fontId="35" fillId="4" borderId="0" xfId="0" applyNumberFormat="1" applyFont="1" applyFill="1" applyBorder="1" applyProtection="1">
      <protection hidden="1"/>
    </xf>
    <xf numFmtId="0" fontId="47" fillId="0" borderId="0" xfId="0" applyFont="1" applyBorder="1" applyProtection="1">
      <protection hidden="1"/>
    </xf>
    <xf numFmtId="181" fontId="47" fillId="0" borderId="0" xfId="0" applyNumberFormat="1" applyFont="1" applyBorder="1" applyProtection="1">
      <protection hidden="1"/>
    </xf>
    <xf numFmtId="1" fontId="66" fillId="0" borderId="0" xfId="0" applyNumberFormat="1" applyFont="1" applyBorder="1" applyAlignment="1" applyProtection="1">
      <alignment horizontal="center"/>
      <protection hidden="1"/>
    </xf>
    <xf numFmtId="0" fontId="76" fillId="0" borderId="0" xfId="0" applyFont="1" applyBorder="1" applyProtection="1">
      <protection hidden="1"/>
    </xf>
    <xf numFmtId="0" fontId="123" fillId="0" borderId="0" xfId="0" applyFont="1" applyBorder="1" applyProtection="1">
      <protection hidden="1"/>
    </xf>
    <xf numFmtId="0" fontId="138" fillId="0" borderId="0" xfId="3" applyFont="1" applyBorder="1" applyAlignment="1" applyProtection="1">
      <alignment horizontal="left" vertical="center"/>
      <protection hidden="1"/>
    </xf>
    <xf numFmtId="0" fontId="68" fillId="0" borderId="0" xfId="0" applyFont="1" applyProtection="1">
      <protection hidden="1"/>
    </xf>
    <xf numFmtId="0" fontId="66" fillId="0" borderId="0" xfId="0" applyFont="1" applyAlignment="1" applyProtection="1">
      <alignment vertical="center"/>
      <protection hidden="1"/>
    </xf>
    <xf numFmtId="0" fontId="55" fillId="38" borderId="32" xfId="0" applyFont="1" applyFill="1" applyBorder="1" applyProtection="1">
      <protection hidden="1"/>
    </xf>
    <xf numFmtId="189" fontId="55" fillId="38" borderId="33" xfId="0" applyNumberFormat="1" applyFont="1" applyFill="1" applyBorder="1" applyAlignment="1" applyProtection="1">
      <alignment horizontal="right"/>
      <protection hidden="1"/>
    </xf>
    <xf numFmtId="189" fontId="55" fillId="38" borderId="33" xfId="0" applyNumberFormat="1" applyFont="1" applyFill="1" applyBorder="1" applyProtection="1">
      <protection hidden="1"/>
    </xf>
    <xf numFmtId="189" fontId="55" fillId="38" borderId="34" xfId="0" applyNumberFormat="1" applyFont="1" applyFill="1" applyBorder="1" applyProtection="1">
      <protection hidden="1"/>
    </xf>
    <xf numFmtId="0" fontId="82" fillId="0" borderId="0" xfId="0" applyFont="1" applyAlignment="1" applyProtection="1">
      <alignment horizontal="left"/>
      <protection hidden="1"/>
    </xf>
    <xf numFmtId="189" fontId="94" fillId="0" borderId="0" xfId="0" applyNumberFormat="1" applyFont="1" applyBorder="1" applyAlignment="1" applyProtection="1">
      <alignment horizontal="center" vertical="center"/>
      <protection hidden="1"/>
    </xf>
    <xf numFmtId="0" fontId="101" fillId="0" borderId="0" xfId="3" applyFont="1" applyBorder="1" applyAlignment="1" applyProtection="1">
      <alignment horizontal="center" vertical="center"/>
      <protection hidden="1"/>
    </xf>
    <xf numFmtId="3" fontId="7" fillId="0" borderId="0" xfId="0" applyNumberFormat="1" applyFont="1" applyBorder="1" applyAlignment="1">
      <alignment horizontal="center" vertical="center"/>
    </xf>
    <xf numFmtId="181" fontId="7" fillId="0" borderId="0" xfId="0" applyNumberFormat="1" applyFont="1" applyBorder="1" applyAlignment="1">
      <alignment vertical="center"/>
    </xf>
    <xf numFmtId="0" fontId="66" fillId="0" borderId="30" xfId="0" applyFont="1" applyBorder="1" applyProtection="1">
      <protection hidden="1"/>
    </xf>
    <xf numFmtId="0" fontId="76" fillId="0" borderId="12" xfId="0" applyFont="1" applyBorder="1" applyProtection="1">
      <protection hidden="1"/>
    </xf>
    <xf numFmtId="0" fontId="76" fillId="0" borderId="12" xfId="0" applyFont="1" applyBorder="1" applyProtection="1">
      <protection hidden="1"/>
    </xf>
    <xf numFmtId="0" fontId="76" fillId="0" borderId="15" xfId="0" applyFont="1" applyBorder="1" applyProtection="1">
      <protection hidden="1"/>
    </xf>
    <xf numFmtId="0" fontId="76" fillId="0" borderId="30" xfId="0" applyFont="1" applyBorder="1" applyProtection="1">
      <protection hidden="1"/>
    </xf>
    <xf numFmtId="0" fontId="66" fillId="0" borderId="3" xfId="0" applyFont="1" applyBorder="1" applyProtection="1">
      <protection hidden="1"/>
    </xf>
    <xf numFmtId="0" fontId="76" fillId="0" borderId="0" xfId="0" applyFont="1" applyBorder="1" applyProtection="1">
      <protection hidden="1"/>
    </xf>
    <xf numFmtId="0" fontId="76" fillId="0" borderId="81" xfId="0" applyFont="1" applyBorder="1" applyProtection="1">
      <protection hidden="1"/>
    </xf>
    <xf numFmtId="0" fontId="76" fillId="0" borderId="3" xfId="0" applyFont="1" applyBorder="1" applyProtection="1">
      <protection hidden="1"/>
    </xf>
    <xf numFmtId="0" fontId="66" fillId="0" borderId="3" xfId="0" applyFont="1" applyBorder="1" applyAlignment="1" applyProtection="1">
      <alignment horizontal="center"/>
      <protection hidden="1"/>
    </xf>
    <xf numFmtId="190" fontId="86" fillId="0" borderId="0" xfId="0" applyNumberFormat="1" applyFont="1" applyBorder="1" applyAlignment="1" applyProtection="1">
      <alignment horizontal="center"/>
      <protection hidden="1"/>
    </xf>
    <xf numFmtId="190" fontId="86" fillId="0" borderId="0" xfId="0" applyNumberFormat="1" applyFont="1" applyBorder="1" applyAlignment="1" applyProtection="1">
      <alignment horizontal="center"/>
      <protection hidden="1"/>
    </xf>
    <xf numFmtId="190" fontId="86" fillId="0" borderId="81" xfId="0" applyNumberFormat="1" applyFont="1" applyBorder="1" applyAlignment="1" applyProtection="1">
      <alignment horizontal="center"/>
      <protection hidden="1"/>
    </xf>
    <xf numFmtId="0" fontId="66" fillId="0" borderId="81" xfId="0" applyFont="1" applyBorder="1" applyProtection="1">
      <protection hidden="1"/>
    </xf>
    <xf numFmtId="0" fontId="66" fillId="0" borderId="8" xfId="0" applyFont="1" applyBorder="1" applyAlignment="1" applyProtection="1">
      <alignment horizontal="center"/>
      <protection hidden="1"/>
    </xf>
    <xf numFmtId="190" fontId="86" fillId="0" borderId="13" xfId="0" applyNumberFormat="1" applyFont="1" applyBorder="1" applyAlignment="1" applyProtection="1">
      <alignment horizontal="center"/>
      <protection hidden="1"/>
    </xf>
    <xf numFmtId="190" fontId="86" fillId="0" borderId="13" xfId="0" applyNumberFormat="1" applyFont="1" applyBorder="1" applyAlignment="1" applyProtection="1">
      <alignment horizontal="center"/>
      <protection hidden="1"/>
    </xf>
    <xf numFmtId="190" fontId="86" fillId="0" borderId="14" xfId="0" applyNumberFormat="1" applyFont="1" applyBorder="1" applyAlignment="1" applyProtection="1">
      <alignment horizontal="center"/>
      <protection hidden="1"/>
    </xf>
    <xf numFmtId="0" fontId="66" fillId="0" borderId="13" xfId="0" applyFont="1" applyBorder="1" applyProtection="1">
      <protection hidden="1"/>
    </xf>
    <xf numFmtId="0" fontId="66" fillId="0" borderId="14" xfId="0" applyFont="1" applyBorder="1" applyProtection="1">
      <protection hidden="1"/>
    </xf>
    <xf numFmtId="0" fontId="76" fillId="0" borderId="30" xfId="0" applyFont="1" applyBorder="1" applyProtection="1">
      <protection hidden="1"/>
    </xf>
    <xf numFmtId="191" fontId="66" fillId="20" borderId="8" xfId="0" applyNumberFormat="1" applyFont="1" applyFill="1" applyBorder="1" applyAlignment="1" applyProtection="1">
      <alignment horizontal="center"/>
      <protection hidden="1"/>
    </xf>
    <xf numFmtId="191" fontId="66" fillId="20" borderId="13" xfId="0" applyNumberFormat="1" applyFont="1" applyFill="1" applyBorder="1" applyAlignment="1" applyProtection="1">
      <alignment horizontal="center"/>
      <protection hidden="1"/>
    </xf>
    <xf numFmtId="191" fontId="66" fillId="20" borderId="14" xfId="0" applyNumberFormat="1" applyFont="1" applyFill="1" applyBorder="1" applyAlignment="1" applyProtection="1">
      <alignment horizontal="center"/>
      <protection hidden="1"/>
    </xf>
    <xf numFmtId="1" fontId="66" fillId="39" borderId="8" xfId="0" applyNumberFormat="1" applyFont="1" applyFill="1" applyBorder="1" applyAlignment="1" applyProtection="1">
      <alignment horizontal="right"/>
      <protection hidden="1"/>
    </xf>
    <xf numFmtId="1" fontId="66" fillId="39" borderId="14" xfId="0" applyNumberFormat="1" applyFont="1" applyFill="1" applyBorder="1" applyAlignment="1" applyProtection="1">
      <alignment horizontal="right"/>
      <protection hidden="1"/>
    </xf>
    <xf numFmtId="1" fontId="66" fillId="39" borderId="8" xfId="0" applyNumberFormat="1" applyFont="1" applyFill="1" applyBorder="1" applyProtection="1">
      <protection hidden="1"/>
    </xf>
    <xf numFmtId="1" fontId="66" fillId="39" borderId="14" xfId="0" applyNumberFormat="1" applyFont="1" applyFill="1" applyBorder="1" applyProtection="1">
      <protection hidden="1"/>
    </xf>
    <xf numFmtId="1" fontId="76" fillId="20" borderId="0" xfId="0" applyNumberFormat="1" applyFont="1" applyFill="1" applyProtection="1">
      <protection hidden="1"/>
    </xf>
    <xf numFmtId="191" fontId="66" fillId="0" borderId="0" xfId="0" applyNumberFormat="1" applyFont="1" applyBorder="1" applyProtection="1">
      <protection hidden="1"/>
    </xf>
    <xf numFmtId="192" fontId="47" fillId="2" borderId="0" xfId="0" applyNumberFormat="1" applyFont="1" applyFill="1" applyBorder="1" applyProtection="1">
      <protection hidden="1"/>
    </xf>
    <xf numFmtId="181" fontId="66" fillId="39" borderId="0" xfId="0" applyNumberFormat="1" applyFont="1" applyFill="1" applyProtection="1">
      <protection hidden="1"/>
    </xf>
    <xf numFmtId="0" fontId="76" fillId="0" borderId="0" xfId="0" applyFont="1" applyAlignment="1" applyProtection="1">
      <alignment horizontal="right"/>
      <protection hidden="1"/>
    </xf>
    <xf numFmtId="181" fontId="76" fillId="39" borderId="0" xfId="0" applyNumberFormat="1" applyFont="1" applyFill="1" applyProtection="1">
      <protection hidden="1"/>
    </xf>
    <xf numFmtId="0" fontId="68" fillId="36" borderId="68" xfId="0" applyFont="1" applyFill="1" applyBorder="1" applyProtection="1">
      <protection hidden="1"/>
    </xf>
    <xf numFmtId="0" fontId="117" fillId="36" borderId="43" xfId="0" applyFont="1" applyFill="1" applyBorder="1" applyAlignment="1" applyProtection="1">
      <alignment horizontal="left" vertical="center"/>
      <protection hidden="1"/>
    </xf>
    <xf numFmtId="0" fontId="81" fillId="36" borderId="43" xfId="0" applyFont="1" applyFill="1" applyBorder="1" applyProtection="1">
      <protection hidden="1"/>
    </xf>
    <xf numFmtId="0" fontId="66" fillId="36" borderId="43" xfId="0" applyFont="1" applyFill="1" applyBorder="1" applyProtection="1">
      <protection hidden="1"/>
    </xf>
    <xf numFmtId="0" fontId="68" fillId="36" borderId="43" xfId="0" applyFont="1" applyFill="1" applyBorder="1" applyProtection="1">
      <protection hidden="1"/>
    </xf>
    <xf numFmtId="0" fontId="68" fillId="36" borderId="59" xfId="0" applyFont="1" applyFill="1" applyBorder="1" applyProtection="1">
      <protection hidden="1"/>
    </xf>
    <xf numFmtId="0" fontId="66" fillId="36" borderId="68" xfId="0" applyFont="1" applyFill="1" applyBorder="1" applyProtection="1">
      <protection hidden="1"/>
    </xf>
    <xf numFmtId="0" fontId="65" fillId="36" borderId="43" xfId="0" applyFont="1" applyFill="1" applyBorder="1" applyProtection="1">
      <protection hidden="1"/>
    </xf>
    <xf numFmtId="0" fontId="66" fillId="36" borderId="59" xfId="0" applyFont="1" applyFill="1" applyBorder="1" applyProtection="1">
      <protection hidden="1"/>
    </xf>
    <xf numFmtId="0" fontId="76" fillId="16" borderId="5" xfId="0" applyFont="1" applyFill="1" applyBorder="1" applyAlignment="1" applyProtection="1">
      <alignment horizontal="center"/>
      <protection hidden="1"/>
    </xf>
    <xf numFmtId="0" fontId="76" fillId="16" borderId="26" xfId="0" applyFont="1" applyFill="1" applyBorder="1" applyAlignment="1" applyProtection="1">
      <alignment horizontal="center"/>
      <protection hidden="1"/>
    </xf>
    <xf numFmtId="1" fontId="47" fillId="16" borderId="5" xfId="0" applyNumberFormat="1" applyFont="1" applyFill="1" applyBorder="1" applyAlignment="1" applyProtection="1">
      <alignment horizontal="center"/>
      <protection hidden="1"/>
    </xf>
    <xf numFmtId="0" fontId="35" fillId="0" borderId="5" xfId="0" applyFont="1" applyBorder="1" applyAlignment="1" applyProtection="1">
      <alignment horizontal="center"/>
      <protection hidden="1"/>
    </xf>
    <xf numFmtId="0" fontId="35" fillId="0" borderId="26" xfId="0" applyFont="1" applyBorder="1" applyAlignment="1" applyProtection="1">
      <alignment horizontal="center"/>
      <protection hidden="1"/>
    </xf>
    <xf numFmtId="0" fontId="35" fillId="0" borderId="27" xfId="0" applyFont="1" applyBorder="1" applyProtection="1">
      <protection hidden="1"/>
    </xf>
    <xf numFmtId="0" fontId="66" fillId="0" borderId="27" xfId="0" applyFont="1" applyBorder="1" applyAlignment="1" applyProtection="1">
      <alignment horizontal="center"/>
      <protection hidden="1"/>
    </xf>
    <xf numFmtId="0" fontId="66" fillId="0" borderId="28" xfId="0" applyFont="1" applyBorder="1" applyAlignment="1" applyProtection="1">
      <alignment horizontal="center"/>
      <protection hidden="1"/>
    </xf>
    <xf numFmtId="0" fontId="47" fillId="0" borderId="23" xfId="0" applyFont="1" applyBorder="1" applyProtection="1">
      <protection hidden="1"/>
    </xf>
    <xf numFmtId="181" fontId="35" fillId="16" borderId="24" xfId="0" applyNumberFormat="1" applyFont="1" applyFill="1" applyBorder="1" applyProtection="1">
      <protection hidden="1"/>
    </xf>
    <xf numFmtId="181" fontId="35" fillId="0" borderId="24" xfId="0" applyNumberFormat="1" applyFont="1" applyBorder="1" applyProtection="1">
      <protection hidden="1"/>
    </xf>
    <xf numFmtId="181" fontId="35" fillId="0" borderId="25" xfId="0" applyNumberFormat="1" applyFont="1" applyBorder="1" applyProtection="1">
      <protection hidden="1"/>
    </xf>
    <xf numFmtId="0" fontId="47" fillId="0" borderId="51" xfId="0" applyFont="1" applyBorder="1" applyProtection="1">
      <protection hidden="1"/>
    </xf>
    <xf numFmtId="181" fontId="35" fillId="16" borderId="5" xfId="0" applyNumberFormat="1" applyFont="1" applyFill="1" applyBorder="1" applyProtection="1">
      <protection hidden="1"/>
    </xf>
    <xf numFmtId="49" fontId="96" fillId="0" borderId="18" xfId="0" applyNumberFormat="1" applyFont="1" applyBorder="1" applyProtection="1">
      <protection hidden="1"/>
    </xf>
    <xf numFmtId="49" fontId="66" fillId="0" borderId="18" xfId="0" applyNumberFormat="1" applyFont="1" applyBorder="1" applyProtection="1">
      <protection hidden="1"/>
    </xf>
    <xf numFmtId="0" fontId="139" fillId="0" borderId="0" xfId="0" applyFont="1" applyAlignment="1">
      <alignment horizontal="center"/>
    </xf>
    <xf numFmtId="0" fontId="66" fillId="0" borderId="18" xfId="0" applyFont="1" applyBorder="1" applyProtection="1">
      <protection hidden="1"/>
    </xf>
    <xf numFmtId="0" fontId="95" fillId="0" borderId="18" xfId="0" applyFont="1" applyBorder="1" applyProtection="1">
      <protection hidden="1"/>
    </xf>
    <xf numFmtId="0" fontId="66" fillId="0" borderId="50" xfId="0" applyFont="1" applyBorder="1" applyProtection="1">
      <protection hidden="1"/>
    </xf>
    <xf numFmtId="0" fontId="76" fillId="0" borderId="18" xfId="0" applyFont="1" applyBorder="1" applyProtection="1">
      <protection hidden="1"/>
    </xf>
    <xf numFmtId="181" fontId="76" fillId="16" borderId="5" xfId="0" applyNumberFormat="1" applyFont="1" applyFill="1" applyBorder="1" applyProtection="1">
      <protection hidden="1"/>
    </xf>
    <xf numFmtId="181" fontId="76" fillId="16" borderId="26" xfId="0" applyNumberFormat="1" applyFont="1" applyFill="1" applyBorder="1" applyProtection="1">
      <protection hidden="1"/>
    </xf>
    <xf numFmtId="0" fontId="47" fillId="0" borderId="18" xfId="0" applyFont="1" applyBorder="1" applyProtection="1">
      <protection hidden="1"/>
    </xf>
    <xf numFmtId="181" fontId="66" fillId="0" borderId="5" xfId="0" applyNumberFormat="1" applyFont="1" applyBorder="1" applyProtection="1">
      <protection hidden="1"/>
    </xf>
    <xf numFmtId="181" fontId="66" fillId="0" borderId="5" xfId="0" applyNumberFormat="1" applyFont="1" applyBorder="1" applyProtection="1">
      <protection hidden="1"/>
    </xf>
    <xf numFmtId="181" fontId="66" fillId="0" borderId="26" xfId="0" applyNumberFormat="1" applyFont="1" applyBorder="1" applyProtection="1">
      <protection hidden="1"/>
    </xf>
    <xf numFmtId="0" fontId="66" fillId="0" borderId="73" xfId="0" applyFont="1" applyBorder="1" applyProtection="1">
      <protection hidden="1"/>
    </xf>
    <xf numFmtId="181" fontId="66" fillId="16" borderId="74" xfId="0" applyNumberFormat="1" applyFont="1" applyFill="1" applyBorder="1" applyProtection="1">
      <protection hidden="1"/>
    </xf>
    <xf numFmtId="181" fontId="66" fillId="0" borderId="74" xfId="0" applyNumberFormat="1" applyFont="1" applyBorder="1" applyProtection="1">
      <protection hidden="1"/>
    </xf>
    <xf numFmtId="181" fontId="66" fillId="0" borderId="75" xfId="0" applyNumberFormat="1" applyFont="1" applyBorder="1" applyProtection="1">
      <protection hidden="1"/>
    </xf>
    <xf numFmtId="0" fontId="54" fillId="23" borderId="123" xfId="0" applyFont="1" applyFill="1" applyBorder="1" applyProtection="1">
      <protection hidden="1"/>
    </xf>
    <xf numFmtId="181" fontId="124" fillId="23" borderId="96" xfId="0" applyNumberFormat="1" applyFont="1" applyFill="1" applyBorder="1" applyProtection="1">
      <protection hidden="1"/>
    </xf>
    <xf numFmtId="181" fontId="124" fillId="23" borderId="124" xfId="0" applyNumberFormat="1" applyFont="1" applyFill="1" applyBorder="1" applyProtection="1">
      <protection hidden="1"/>
    </xf>
    <xf numFmtId="181" fontId="66" fillId="16" borderId="5" xfId="0" applyNumberFormat="1" applyFont="1" applyFill="1" applyBorder="1" applyProtection="1">
      <protection hidden="1"/>
    </xf>
    <xf numFmtId="181" fontId="35" fillId="16" borderId="74" xfId="0" applyNumberFormat="1" applyFont="1" applyFill="1" applyBorder="1" applyProtection="1">
      <protection hidden="1"/>
    </xf>
    <xf numFmtId="181" fontId="35" fillId="16" borderId="20" xfId="0" applyNumberFormat="1" applyFont="1" applyFill="1" applyBorder="1" applyProtection="1">
      <protection hidden="1"/>
    </xf>
    <xf numFmtId="0" fontId="47" fillId="16" borderId="53" xfId="0" applyFont="1" applyFill="1" applyBorder="1" applyProtection="1">
      <protection hidden="1"/>
    </xf>
    <xf numFmtId="181" fontId="35" fillId="16" borderId="96" xfId="0" applyNumberFormat="1" applyFont="1" applyFill="1" applyBorder="1" applyProtection="1">
      <protection hidden="1"/>
    </xf>
    <xf numFmtId="181" fontId="35" fillId="0" borderId="22" xfId="0" applyNumberFormat="1" applyFont="1" applyBorder="1" applyProtection="1">
      <protection hidden="1"/>
    </xf>
    <xf numFmtId="0" fontId="66" fillId="0" borderId="23" xfId="0" applyFont="1" applyBorder="1" applyProtection="1">
      <protection hidden="1"/>
    </xf>
    <xf numFmtId="181" fontId="35" fillId="0" borderId="24" xfId="0" applyNumberFormat="1" applyFont="1" applyBorder="1" applyProtection="1">
      <protection hidden="1"/>
    </xf>
    <xf numFmtId="181" fontId="35" fillId="0" borderId="25" xfId="0" applyNumberFormat="1" applyFont="1" applyBorder="1" applyProtection="1">
      <protection hidden="1"/>
    </xf>
    <xf numFmtId="181" fontId="35" fillId="16" borderId="11" xfId="0" applyNumberFormat="1" applyFont="1" applyFill="1" applyBorder="1" applyProtection="1">
      <protection hidden="1"/>
    </xf>
    <xf numFmtId="0" fontId="66" fillId="4" borderId="18" xfId="0" applyFont="1" applyFill="1" applyBorder="1" applyProtection="1">
      <protection hidden="1"/>
    </xf>
    <xf numFmtId="181" fontId="35" fillId="4" borderId="5" xfId="0" applyNumberFormat="1" applyFont="1" applyFill="1" applyBorder="1" applyProtection="1">
      <protection hidden="1"/>
    </xf>
    <xf numFmtId="181" fontId="35" fillId="4" borderId="26" xfId="0" applyNumberFormat="1" applyFont="1" applyFill="1" applyBorder="1" applyProtection="1">
      <protection hidden="1"/>
    </xf>
    <xf numFmtId="0" fontId="66" fillId="0" borderId="37" xfId="0" applyFont="1" applyBorder="1" applyProtection="1">
      <protection hidden="1"/>
    </xf>
    <xf numFmtId="181" fontId="35" fillId="0" borderId="39" xfId="0" applyNumberFormat="1" applyFont="1" applyBorder="1" applyProtection="1">
      <protection hidden="1"/>
    </xf>
    <xf numFmtId="0" fontId="68" fillId="0" borderId="73" xfId="0" applyFont="1" applyBorder="1" applyProtection="1">
      <protection hidden="1"/>
    </xf>
    <xf numFmtId="181" fontId="35" fillId="4" borderId="56" xfId="0" applyNumberFormat="1" applyFont="1" applyFill="1" applyBorder="1" applyProtection="1">
      <protection hidden="1"/>
    </xf>
    <xf numFmtId="0" fontId="54" fillId="23" borderId="21" xfId="0" applyFont="1" applyFill="1" applyBorder="1" applyProtection="1">
      <protection hidden="1"/>
    </xf>
    <xf numFmtId="181" fontId="124" fillId="23" borderId="27" xfId="0" applyNumberFormat="1" applyFont="1" applyFill="1" applyBorder="1" applyProtection="1">
      <protection hidden="1"/>
    </xf>
    <xf numFmtId="181" fontId="124" fillId="23" borderId="28" xfId="0" applyNumberFormat="1" applyFont="1" applyFill="1" applyBorder="1" applyProtection="1">
      <protection hidden="1"/>
    </xf>
    <xf numFmtId="0" fontId="76" fillId="0" borderId="73" xfId="0" applyFont="1" applyBorder="1" applyProtection="1">
      <protection hidden="1"/>
    </xf>
    <xf numFmtId="181" fontId="140" fillId="16" borderId="74" xfId="0" applyNumberFormat="1" applyFont="1" applyFill="1" applyBorder="1" applyProtection="1">
      <protection hidden="1"/>
    </xf>
    <xf numFmtId="0" fontId="35" fillId="0" borderId="74" xfId="0" applyFont="1" applyBorder="1" applyProtection="1">
      <protection hidden="1"/>
    </xf>
    <xf numFmtId="0" fontId="66" fillId="0" borderId="51" xfId="0" applyFont="1" applyBorder="1" applyProtection="1">
      <protection hidden="1"/>
    </xf>
    <xf numFmtId="0" fontId="35" fillId="0" borderId="11" xfId="0" applyFont="1" applyBorder="1" applyProtection="1">
      <protection hidden="1"/>
    </xf>
    <xf numFmtId="0" fontId="66" fillId="0" borderId="0" xfId="0" applyFont="1" applyAlignment="1" applyProtection="1">
      <alignment horizontal="center"/>
      <protection hidden="1"/>
    </xf>
    <xf numFmtId="0" fontId="76" fillId="0" borderId="18" xfId="0" applyFont="1" applyBorder="1" applyProtection="1">
      <protection hidden="1"/>
    </xf>
    <xf numFmtId="181" fontId="140" fillId="16" borderId="5" xfId="0" applyNumberFormat="1" applyFont="1" applyFill="1" applyBorder="1" applyProtection="1">
      <protection hidden="1"/>
    </xf>
    <xf numFmtId="187" fontId="35" fillId="0" borderId="5" xfId="0" applyNumberFormat="1" applyFont="1" applyBorder="1" applyProtection="1">
      <protection hidden="1"/>
    </xf>
    <xf numFmtId="187" fontId="35" fillId="0" borderId="26" xfId="0" applyNumberFormat="1" applyFont="1" applyBorder="1" applyProtection="1">
      <protection hidden="1"/>
    </xf>
    <xf numFmtId="0" fontId="66" fillId="0" borderId="18" xfId="0" applyFont="1" applyBorder="1" applyProtection="1">
      <protection hidden="1"/>
    </xf>
    <xf numFmtId="181" fontId="66" fillId="0" borderId="50" xfId="0" applyNumberFormat="1" applyFont="1" applyBorder="1" applyProtection="1">
      <protection hidden="1"/>
    </xf>
    <xf numFmtId="0" fontId="76" fillId="0" borderId="51" xfId="0" applyFont="1" applyBorder="1" applyProtection="1">
      <protection hidden="1"/>
    </xf>
    <xf numFmtId="0" fontId="35" fillId="16" borderId="11" xfId="0" applyFont="1" applyFill="1" applyBorder="1" applyProtection="1">
      <protection hidden="1"/>
    </xf>
    <xf numFmtId="181" fontId="35" fillId="0" borderId="11" xfId="8" applyNumberFormat="1" applyFont="1" applyBorder="1" applyAlignment="1" applyProtection="1">
      <protection hidden="1"/>
    </xf>
    <xf numFmtId="0" fontId="35" fillId="0" borderId="11" xfId="0" applyFont="1" applyBorder="1" applyProtection="1">
      <protection hidden="1"/>
    </xf>
    <xf numFmtId="0" fontId="35" fillId="0" borderId="46" xfId="0" applyFont="1" applyBorder="1" applyProtection="1">
      <protection hidden="1"/>
    </xf>
    <xf numFmtId="181" fontId="35" fillId="0" borderId="46" xfId="8" applyNumberFormat="1" applyFont="1" applyBorder="1" applyAlignment="1" applyProtection="1">
      <protection hidden="1"/>
    </xf>
    <xf numFmtId="181" fontId="141" fillId="16" borderId="5" xfId="0" applyNumberFormat="1" applyFont="1" applyFill="1" applyBorder="1" applyProtection="1">
      <protection hidden="1"/>
    </xf>
    <xf numFmtId="0" fontId="35" fillId="0" borderId="5" xfId="0" applyFont="1" applyBorder="1" applyProtection="1">
      <protection hidden="1"/>
    </xf>
    <xf numFmtId="0" fontId="35" fillId="0" borderId="26" xfId="0" applyFont="1" applyBorder="1" applyProtection="1">
      <protection hidden="1"/>
    </xf>
    <xf numFmtId="0" fontId="35" fillId="0" borderId="56" xfId="0" applyFont="1" applyBorder="1" applyProtection="1">
      <protection hidden="1"/>
    </xf>
    <xf numFmtId="0" fontId="35" fillId="0" borderId="26" xfId="0" applyFont="1" applyBorder="1" applyProtection="1">
      <protection hidden="1"/>
    </xf>
    <xf numFmtId="0" fontId="76" fillId="0" borderId="37" xfId="0" applyFont="1" applyBorder="1" applyProtection="1">
      <protection hidden="1"/>
    </xf>
    <xf numFmtId="181" fontId="35" fillId="0" borderId="122" xfId="0" applyNumberFormat="1" applyFont="1" applyBorder="1" applyProtection="1">
      <protection hidden="1"/>
    </xf>
    <xf numFmtId="181" fontId="35" fillId="0" borderId="122" xfId="0" applyNumberFormat="1" applyFont="1" applyBorder="1" applyProtection="1">
      <protection hidden="1"/>
    </xf>
    <xf numFmtId="181" fontId="35" fillId="0" borderId="125" xfId="0" applyNumberFormat="1" applyFont="1" applyBorder="1" applyProtection="1">
      <protection hidden="1"/>
    </xf>
    <xf numFmtId="49" fontId="76" fillId="0" borderId="51" xfId="0" applyNumberFormat="1" applyFont="1" applyBorder="1" applyProtection="1">
      <protection hidden="1"/>
    </xf>
    <xf numFmtId="181" fontId="35" fillId="16" borderId="46" xfId="0" applyNumberFormat="1" applyFont="1" applyFill="1" applyBorder="1" applyProtection="1">
      <protection hidden="1"/>
    </xf>
    <xf numFmtId="0" fontId="76" fillId="0" borderId="18" xfId="0" applyFont="1" applyBorder="1" applyProtection="1">
      <protection hidden="1"/>
    </xf>
    <xf numFmtId="181" fontId="140" fillId="16" borderId="11" xfId="0" applyNumberFormat="1" applyFont="1" applyFill="1" applyBorder="1" applyProtection="1">
      <protection hidden="1"/>
    </xf>
    <xf numFmtId="0" fontId="76" fillId="0" borderId="18" xfId="0" applyFont="1" applyBorder="1" applyProtection="1">
      <protection hidden="1"/>
    </xf>
    <xf numFmtId="49" fontId="76" fillId="0" borderId="18" xfId="0" applyNumberFormat="1" applyFont="1" applyBorder="1" applyProtection="1">
      <protection hidden="1"/>
    </xf>
    <xf numFmtId="181" fontId="47" fillId="0" borderId="5" xfId="0" applyNumberFormat="1" applyFont="1" applyBorder="1" applyProtection="1">
      <protection hidden="1"/>
    </xf>
    <xf numFmtId="181" fontId="78" fillId="0" borderId="5" xfId="0" applyNumberFormat="1" applyFont="1" applyBorder="1" applyProtection="1">
      <protection hidden="1"/>
    </xf>
    <xf numFmtId="181" fontId="78" fillId="0" borderId="26" xfId="0" applyNumberFormat="1" applyFont="1" applyBorder="1" applyProtection="1">
      <protection hidden="1"/>
    </xf>
    <xf numFmtId="189" fontId="35" fillId="0" borderId="20" xfId="0" applyNumberFormat="1" applyFont="1" applyBorder="1" applyProtection="1">
      <protection hidden="1"/>
    </xf>
    <xf numFmtId="189" fontId="35" fillId="0" borderId="5" xfId="0" applyNumberFormat="1" applyFont="1" applyBorder="1" applyProtection="1">
      <protection hidden="1"/>
    </xf>
    <xf numFmtId="0" fontId="76" fillId="0" borderId="73" xfId="0" applyFont="1" applyBorder="1" applyProtection="1">
      <protection hidden="1"/>
    </xf>
    <xf numFmtId="189" fontId="35" fillId="16" borderId="74" xfId="0" applyNumberFormat="1" applyFont="1" applyFill="1" applyBorder="1" applyProtection="1">
      <protection hidden="1"/>
    </xf>
    <xf numFmtId="181" fontId="35" fillId="0" borderId="76" xfId="0" applyNumberFormat="1" applyFont="1" applyBorder="1" applyProtection="1">
      <protection hidden="1"/>
    </xf>
    <xf numFmtId="0" fontId="76" fillId="0" borderId="60" xfId="0" applyFont="1" applyBorder="1" applyProtection="1">
      <protection hidden="1"/>
    </xf>
    <xf numFmtId="189" fontId="66" fillId="0" borderId="20" xfId="0" applyNumberFormat="1" applyFont="1" applyBorder="1" applyProtection="1">
      <protection hidden="1"/>
    </xf>
    <xf numFmtId="181" fontId="66" fillId="0" borderId="20" xfId="0" applyNumberFormat="1" applyFont="1" applyBorder="1" applyProtection="1">
      <protection hidden="1"/>
    </xf>
    <xf numFmtId="181" fontId="66" fillId="0" borderId="61" xfId="0" applyNumberFormat="1" applyFont="1" applyBorder="1" applyProtection="1">
      <protection hidden="1"/>
    </xf>
    <xf numFmtId="0" fontId="120" fillId="0" borderId="18" xfId="0" applyFont="1" applyBorder="1" applyProtection="1">
      <protection hidden="1"/>
    </xf>
    <xf numFmtId="189" fontId="35" fillId="0" borderId="26" xfId="0" applyNumberFormat="1" applyFont="1" applyBorder="1" applyProtection="1">
      <protection hidden="1"/>
    </xf>
    <xf numFmtId="0" fontId="54" fillId="38" borderId="32" xfId="0" applyFont="1" applyFill="1" applyBorder="1" applyProtection="1">
      <protection hidden="1"/>
    </xf>
    <xf numFmtId="189" fontId="54" fillId="38" borderId="40" xfId="0" applyNumberFormat="1" applyFont="1" applyFill="1" applyBorder="1" applyProtection="1">
      <protection hidden="1"/>
    </xf>
    <xf numFmtId="189" fontId="54" fillId="38" borderId="41" xfId="0" applyNumberFormat="1" applyFont="1" applyFill="1" applyBorder="1" applyProtection="1">
      <protection hidden="1"/>
    </xf>
    <xf numFmtId="14" fontId="47" fillId="0" borderId="33" xfId="0" applyNumberFormat="1" applyFont="1" applyBorder="1" applyProtection="1">
      <protection hidden="1"/>
    </xf>
    <xf numFmtId="14" fontId="47" fillId="0" borderId="33" xfId="0" applyNumberFormat="1" applyFont="1" applyBorder="1" applyProtection="1">
      <protection hidden="1"/>
    </xf>
    <xf numFmtId="0" fontId="66" fillId="0" borderId="0" xfId="0" applyFont="1" applyProtection="1">
      <protection hidden="1"/>
    </xf>
    <xf numFmtId="0" fontId="54" fillId="0" borderId="0" xfId="0" applyFont="1" applyBorder="1" applyProtection="1">
      <protection hidden="1"/>
    </xf>
    <xf numFmtId="0" fontId="69" fillId="0" borderId="0" xfId="0" applyFont="1" applyBorder="1" applyAlignment="1" applyProtection="1">
      <alignment horizontal="center"/>
      <protection hidden="1"/>
    </xf>
    <xf numFmtId="0" fontId="142" fillId="0" borderId="0" xfId="0" applyFont="1" applyBorder="1" applyAlignment="1" applyProtection="1">
      <alignment horizontal="center"/>
      <protection hidden="1"/>
    </xf>
    <xf numFmtId="14" fontId="47" fillId="0" borderId="0" xfId="0" applyNumberFormat="1" applyFont="1" applyBorder="1" applyProtection="1">
      <protection hidden="1"/>
    </xf>
    <xf numFmtId="0" fontId="35" fillId="0" borderId="0" xfId="0" applyFont="1" applyBorder="1" applyAlignment="1" applyProtection="1">
      <alignment horizontal="center"/>
      <protection hidden="1"/>
    </xf>
    <xf numFmtId="14" fontId="47" fillId="0" borderId="0" xfId="0" applyNumberFormat="1" applyFont="1" applyBorder="1" applyProtection="1">
      <protection hidden="1"/>
    </xf>
    <xf numFmtId="0" fontId="66" fillId="0" borderId="0" xfId="0" applyFont="1" applyBorder="1" applyProtection="1">
      <protection hidden="1"/>
    </xf>
    <xf numFmtId="0" fontId="47" fillId="34" borderId="18" xfId="0" applyFont="1" applyFill="1" applyBorder="1" applyProtection="1">
      <protection hidden="1"/>
    </xf>
    <xf numFmtId="0" fontId="35" fillId="0" borderId="5" xfId="0" applyFont="1" applyBorder="1" applyAlignment="1" applyProtection="1">
      <alignment horizontal="center"/>
      <protection hidden="1"/>
    </xf>
    <xf numFmtId="0" fontId="35" fillId="0" borderId="26" xfId="0" applyFont="1" applyBorder="1" applyAlignment="1" applyProtection="1">
      <alignment horizontal="center"/>
      <protection hidden="1"/>
    </xf>
    <xf numFmtId="181" fontId="35" fillId="0" borderId="3" xfId="0" applyNumberFormat="1" applyFont="1" applyBorder="1" applyProtection="1">
      <protection hidden="1"/>
    </xf>
    <xf numFmtId="181" fontId="35" fillId="0" borderId="81" xfId="0" applyNumberFormat="1" applyFont="1" applyBorder="1" applyProtection="1">
      <protection hidden="1"/>
    </xf>
    <xf numFmtId="0" fontId="35" fillId="0" borderId="30" xfId="0" applyFont="1" applyBorder="1" applyProtection="1">
      <protection hidden="1"/>
    </xf>
    <xf numFmtId="0" fontId="35" fillId="0" borderId="15" xfId="0" applyFont="1" applyBorder="1" applyProtection="1">
      <protection hidden="1"/>
    </xf>
    <xf numFmtId="181" fontId="74" fillId="0" borderId="22" xfId="0" applyNumberFormat="1" applyFont="1" applyBorder="1" applyProtection="1">
      <protection hidden="1"/>
    </xf>
    <xf numFmtId="0" fontId="35" fillId="0" borderId="8" xfId="0" applyFont="1" applyBorder="1" applyProtection="1">
      <protection hidden="1"/>
    </xf>
    <xf numFmtId="0" fontId="35" fillId="0" borderId="13" xfId="0" applyFont="1" applyBorder="1" applyProtection="1">
      <protection hidden="1"/>
    </xf>
    <xf numFmtId="0" fontId="35" fillId="0" borderId="14" xfId="0" applyFont="1" applyBorder="1" applyProtection="1">
      <protection hidden="1"/>
    </xf>
    <xf numFmtId="181" fontId="143" fillId="0" borderId="0" xfId="0" applyNumberFormat="1" applyFont="1" applyBorder="1" applyProtection="1">
      <protection hidden="1"/>
    </xf>
    <xf numFmtId="181" fontId="100" fillId="0" borderId="0" xfId="0" applyNumberFormat="1" applyFont="1" applyBorder="1" applyProtection="1">
      <protection hidden="1"/>
    </xf>
    <xf numFmtId="0" fontId="137" fillId="5" borderId="18" xfId="0" applyFont="1" applyFill="1" applyBorder="1" applyProtection="1">
      <protection hidden="1"/>
    </xf>
    <xf numFmtId="0" fontId="66" fillId="5" borderId="18" xfId="0" applyFont="1" applyFill="1" applyBorder="1" applyProtection="1">
      <protection hidden="1"/>
    </xf>
    <xf numFmtId="181" fontId="35" fillId="5" borderId="5" xfId="0" applyNumberFormat="1" applyFont="1" applyFill="1" applyBorder="1" applyProtection="1">
      <protection hidden="1"/>
    </xf>
    <xf numFmtId="181" fontId="72" fillId="0" borderId="0" xfId="0" applyNumberFormat="1" applyFont="1" applyBorder="1" applyProtection="1">
      <protection hidden="1"/>
    </xf>
    <xf numFmtId="181" fontId="72" fillId="0" borderId="0" xfId="0" applyNumberFormat="1" applyFont="1" applyBorder="1" applyProtection="1">
      <protection hidden="1"/>
    </xf>
    <xf numFmtId="181" fontId="35" fillId="5" borderId="74" xfId="0" applyNumberFormat="1" applyFont="1" applyFill="1" applyBorder="1" applyProtection="1">
      <protection hidden="1"/>
    </xf>
    <xf numFmtId="187" fontId="144" fillId="0" borderId="0" xfId="0" applyNumberFormat="1" applyFont="1" applyBorder="1" applyAlignment="1" applyProtection="1">
      <alignment horizontal="center"/>
      <protection hidden="1"/>
    </xf>
    <xf numFmtId="0" fontId="76" fillId="5" borderId="18" xfId="0" applyFont="1" applyFill="1" applyBorder="1" applyProtection="1">
      <protection hidden="1"/>
    </xf>
    <xf numFmtId="181" fontId="47" fillId="5" borderId="11" xfId="0" applyNumberFormat="1" applyFont="1" applyFill="1" applyBorder="1" applyProtection="1">
      <protection hidden="1"/>
    </xf>
    <xf numFmtId="181" fontId="35" fillId="23" borderId="95" xfId="0" applyNumberFormat="1" applyFont="1" applyFill="1" applyBorder="1" applyProtection="1">
      <protection hidden="1"/>
    </xf>
    <xf numFmtId="0" fontId="35" fillId="0" borderId="0" xfId="0" applyFont="1" applyProtection="1">
      <protection hidden="1"/>
    </xf>
    <xf numFmtId="167" fontId="35" fillId="0" borderId="0" xfId="0" applyNumberFormat="1" applyFont="1" applyProtection="1">
      <protection hidden="1"/>
    </xf>
    <xf numFmtId="181" fontId="35" fillId="0" borderId="0" xfId="0" applyNumberFormat="1" applyFont="1" applyProtection="1">
      <protection hidden="1"/>
    </xf>
    <xf numFmtId="181" fontId="47" fillId="5" borderId="0" xfId="0" applyNumberFormat="1" applyFont="1" applyFill="1" applyProtection="1">
      <protection hidden="1"/>
    </xf>
    <xf numFmtId="181" fontId="76" fillId="6" borderId="0" xfId="0" applyNumberFormat="1" applyFont="1" applyFill="1" applyProtection="1">
      <protection hidden="1"/>
    </xf>
    <xf numFmtId="0" fontId="76" fillId="0" borderId="0" xfId="0" applyFont="1" applyProtection="1">
      <protection hidden="1"/>
    </xf>
    <xf numFmtId="187" fontId="35" fillId="0" borderId="0" xfId="0" applyNumberFormat="1" applyFont="1" applyProtection="1">
      <protection hidden="1"/>
    </xf>
    <xf numFmtId="0" fontId="66" fillId="0" borderId="0" xfId="0" applyFont="1" applyAlignment="1" applyProtection="1">
      <alignment horizontal="center"/>
      <protection hidden="1"/>
    </xf>
    <xf numFmtId="2" fontId="66" fillId="0" borderId="0" xfId="0" applyNumberFormat="1" applyFont="1" applyProtection="1">
      <protection hidden="1"/>
    </xf>
    <xf numFmtId="2" fontId="66" fillId="0" borderId="0" xfId="0" applyNumberFormat="1" applyFont="1" applyProtection="1">
      <protection hidden="1"/>
    </xf>
    <xf numFmtId="181" fontId="55" fillId="0" borderId="0" xfId="0" applyNumberFormat="1" applyFont="1" applyBorder="1" applyProtection="1">
      <protection hidden="1"/>
    </xf>
    <xf numFmtId="0" fontId="66" fillId="0" borderId="13" xfId="0" applyFont="1" applyBorder="1" applyAlignment="1" applyProtection="1">
      <alignment horizontal="center"/>
      <protection hidden="1"/>
    </xf>
    <xf numFmtId="2" fontId="66" fillId="0" borderId="13" xfId="0" applyNumberFormat="1" applyFont="1" applyBorder="1" applyProtection="1">
      <protection hidden="1"/>
    </xf>
    <xf numFmtId="181" fontId="66" fillId="0" borderId="13" xfId="0" applyNumberFormat="1" applyFont="1" applyBorder="1" applyProtection="1">
      <protection hidden="1"/>
    </xf>
    <xf numFmtId="167" fontId="35" fillId="0" borderId="0" xfId="0" applyNumberFormat="1" applyFont="1" applyBorder="1" applyProtection="1">
      <protection hidden="1"/>
    </xf>
    <xf numFmtId="4" fontId="35" fillId="0" borderId="0" xfId="0" applyNumberFormat="1" applyFont="1" applyBorder="1" applyProtection="1">
      <protection hidden="1"/>
    </xf>
    <xf numFmtId="14" fontId="35" fillId="0" borderId="0" xfId="0" applyNumberFormat="1" applyFont="1" applyBorder="1" applyProtection="1">
      <protection hidden="1"/>
    </xf>
    <xf numFmtId="4" fontId="35" fillId="5" borderId="0" xfId="0" applyNumberFormat="1" applyFont="1" applyFill="1" applyBorder="1" applyProtection="1">
      <protection hidden="1"/>
    </xf>
    <xf numFmtId="4" fontId="47" fillId="5" borderId="0" xfId="0" applyNumberFormat="1" applyFont="1" applyFill="1" applyBorder="1" applyProtection="1">
      <protection hidden="1"/>
    </xf>
    <xf numFmtId="181" fontId="35" fillId="5" borderId="0" xfId="0" applyNumberFormat="1" applyFont="1" applyFill="1" applyBorder="1" applyProtection="1">
      <protection hidden="1"/>
    </xf>
    <xf numFmtId="0" fontId="54" fillId="0" borderId="69" xfId="0" applyFont="1" applyBorder="1" applyProtection="1">
      <protection hidden="1"/>
    </xf>
    <xf numFmtId="0" fontId="54" fillId="0" borderId="13" xfId="0" applyFont="1" applyBorder="1" applyProtection="1">
      <protection hidden="1"/>
    </xf>
    <xf numFmtId="167" fontId="54" fillId="6" borderId="13" xfId="0" applyNumberFormat="1" applyFont="1" applyFill="1" applyBorder="1" applyAlignment="1" applyProtection="1">
      <alignment horizontal="center"/>
      <protection locked="0"/>
    </xf>
    <xf numFmtId="0" fontId="35" fillId="0" borderId="13" xfId="0" applyFont="1" applyBorder="1" applyAlignment="1" applyProtection="1">
      <alignment horizontal="center"/>
      <protection hidden="1"/>
    </xf>
    <xf numFmtId="167" fontId="54" fillId="0" borderId="13" xfId="0" applyNumberFormat="1" applyFont="1" applyBorder="1" applyAlignment="1" applyProtection="1">
      <alignment horizontal="center"/>
      <protection hidden="1"/>
    </xf>
    <xf numFmtId="1" fontId="66" fillId="0" borderId="13" xfId="0" applyNumberFormat="1" applyFont="1" applyBorder="1" applyAlignment="1" applyProtection="1">
      <alignment horizontal="center"/>
      <protection hidden="1"/>
    </xf>
    <xf numFmtId="0" fontId="66" fillId="0" borderId="47" xfId="0" applyFont="1" applyBorder="1" applyProtection="1">
      <protection hidden="1"/>
    </xf>
    <xf numFmtId="0" fontId="54" fillId="0" borderId="50" xfId="0" applyFont="1" applyBorder="1" applyProtection="1">
      <protection hidden="1"/>
    </xf>
    <xf numFmtId="0" fontId="68" fillId="0" borderId="0" xfId="0" applyFont="1" applyBorder="1" applyProtection="1">
      <protection locked="0" hidden="1"/>
    </xf>
    <xf numFmtId="0" fontId="35" fillId="0" borderId="0" xfId="0" applyFont="1" applyBorder="1" applyAlignment="1" applyProtection="1">
      <alignment vertical="center"/>
      <protection hidden="1"/>
    </xf>
    <xf numFmtId="0" fontId="87" fillId="0" borderId="0" xfId="0" applyFont="1" applyBorder="1" applyAlignment="1" applyProtection="1">
      <alignment horizontal="center"/>
      <protection hidden="1"/>
    </xf>
    <xf numFmtId="0" fontId="66" fillId="0" borderId="32" xfId="0" applyFont="1" applyBorder="1" applyProtection="1">
      <protection hidden="1"/>
    </xf>
    <xf numFmtId="0" fontId="68" fillId="0" borderId="33" xfId="0" applyFont="1" applyBorder="1" applyProtection="1">
      <protection locked="0" hidden="1"/>
    </xf>
    <xf numFmtId="0" fontId="35" fillId="0" borderId="33" xfId="0" applyFont="1" applyBorder="1" applyAlignment="1" applyProtection="1">
      <alignment vertical="center"/>
      <protection hidden="1"/>
    </xf>
    <xf numFmtId="0" fontId="66" fillId="0" borderId="33" xfId="0" applyFont="1" applyBorder="1" applyProtection="1">
      <protection hidden="1"/>
    </xf>
    <xf numFmtId="0" fontId="100" fillId="0" borderId="33" xfId="0" applyFont="1" applyBorder="1" applyAlignment="1" applyProtection="1">
      <alignment horizontal="center"/>
      <protection hidden="1"/>
    </xf>
    <xf numFmtId="0" fontId="66" fillId="0" borderId="34" xfId="0" applyFont="1" applyBorder="1" applyProtection="1">
      <protection hidden="1"/>
    </xf>
    <xf numFmtId="0" fontId="145" fillId="0" borderId="0" xfId="0" applyFont="1"/>
    <xf numFmtId="0" fontId="66" fillId="25" borderId="23" xfId="0" applyFont="1" applyFill="1" applyBorder="1" applyProtection="1">
      <protection hidden="1"/>
    </xf>
    <xf numFmtId="0" fontId="47" fillId="16" borderId="24" xfId="0" applyFont="1" applyFill="1" applyBorder="1" applyAlignment="1" applyProtection="1">
      <alignment horizontal="center" vertical="center"/>
      <protection hidden="1"/>
    </xf>
    <xf numFmtId="0" fontId="47" fillId="16" borderId="25" xfId="0" applyFont="1" applyFill="1" applyBorder="1" applyAlignment="1" applyProtection="1">
      <alignment horizontal="center" vertical="center"/>
      <protection hidden="1"/>
    </xf>
    <xf numFmtId="0" fontId="35" fillId="0" borderId="18" xfId="0" applyFont="1" applyBorder="1" applyAlignment="1">
      <alignment horizontal="left" vertical="center"/>
    </xf>
    <xf numFmtId="181" fontId="35" fillId="0" borderId="5" xfId="0" applyNumberFormat="1" applyFont="1" applyBorder="1" applyAlignment="1">
      <alignment horizontal="left"/>
    </xf>
    <xf numFmtId="181" fontId="35" fillId="6" borderId="26" xfId="0" applyNumberFormat="1" applyFont="1" applyFill="1" applyBorder="1" applyAlignment="1" applyProtection="1">
      <alignment vertical="center"/>
      <protection locked="0"/>
    </xf>
    <xf numFmtId="0" fontId="0" fillId="0" borderId="0" xfId="0" applyAlignment="1">
      <alignment horizontal="left"/>
    </xf>
    <xf numFmtId="0" fontId="92" fillId="0" borderId="18" xfId="0" applyFont="1" applyBorder="1" applyAlignment="1">
      <alignment vertical="center" wrapText="1"/>
    </xf>
    <xf numFmtId="181" fontId="35" fillId="0" borderId="5" xfId="0" applyNumberFormat="1" applyFont="1" applyBorder="1" applyAlignment="1">
      <alignment horizontal="center" vertical="center"/>
    </xf>
    <xf numFmtId="181" fontId="35" fillId="0" borderId="5" xfId="0" applyNumberFormat="1" applyFont="1" applyBorder="1" applyAlignment="1">
      <alignment vertical="center"/>
    </xf>
    <xf numFmtId="181" fontId="35" fillId="0" borderId="26" xfId="0" applyNumberFormat="1" applyFont="1" applyBorder="1" applyAlignment="1">
      <alignment vertical="center"/>
    </xf>
    <xf numFmtId="0" fontId="47" fillId="0" borderId="18" xfId="0" applyFont="1" applyBorder="1" applyAlignment="1" applyProtection="1">
      <alignment vertical="center" wrapText="1"/>
      <protection hidden="1"/>
    </xf>
    <xf numFmtId="0" fontId="47" fillId="0" borderId="18" xfId="0" applyFont="1" applyBorder="1" applyAlignment="1" applyProtection="1">
      <alignment vertical="center"/>
      <protection hidden="1"/>
    </xf>
    <xf numFmtId="179" fontId="35" fillId="0" borderId="5" xfId="0" applyNumberFormat="1" applyFont="1" applyBorder="1" applyProtection="1">
      <protection hidden="1"/>
    </xf>
    <xf numFmtId="193" fontId="35" fillId="0" borderId="5" xfId="0" applyNumberFormat="1" applyFont="1" applyBorder="1" applyAlignment="1" applyProtection="1">
      <alignment vertical="center"/>
      <protection hidden="1"/>
    </xf>
    <xf numFmtId="193" fontId="35" fillId="0" borderId="26" xfId="0" applyNumberFormat="1" applyFont="1" applyBorder="1" applyAlignment="1" applyProtection="1">
      <alignment vertical="center"/>
      <protection hidden="1"/>
    </xf>
    <xf numFmtId="0" fontId="35" fillId="0" borderId="18" xfId="0" applyFont="1" applyBorder="1" applyAlignment="1" applyProtection="1">
      <alignment vertical="center"/>
      <protection hidden="1"/>
    </xf>
    <xf numFmtId="181" fontId="35" fillId="0" borderId="5" xfId="0" applyNumberFormat="1" applyFont="1" applyBorder="1" applyAlignment="1" applyProtection="1">
      <alignment vertical="center"/>
      <protection hidden="1"/>
    </xf>
    <xf numFmtId="181" fontId="35" fillId="0" borderId="26" xfId="0" applyNumberFormat="1" applyFont="1" applyBorder="1" applyAlignment="1" applyProtection="1">
      <alignment vertical="center"/>
      <protection hidden="1"/>
    </xf>
    <xf numFmtId="179" fontId="35" fillId="0" borderId="5" xfId="0" applyNumberFormat="1" applyFont="1" applyBorder="1" applyAlignment="1" applyProtection="1">
      <alignment vertical="center"/>
      <protection hidden="1"/>
    </xf>
    <xf numFmtId="179" fontId="35" fillId="0" borderId="26" xfId="0" applyNumberFormat="1" applyFont="1" applyBorder="1" applyAlignment="1" applyProtection="1">
      <alignment vertical="center"/>
      <protection hidden="1"/>
    </xf>
    <xf numFmtId="0" fontId="35" fillId="24" borderId="18" xfId="0" applyFont="1" applyFill="1" applyBorder="1" applyAlignment="1" applyProtection="1">
      <alignment vertical="center"/>
      <protection hidden="1"/>
    </xf>
    <xf numFmtId="189" fontId="35" fillId="24" borderId="5" xfId="0" applyNumberFormat="1" applyFont="1" applyFill="1" applyBorder="1" applyProtection="1">
      <protection hidden="1"/>
    </xf>
    <xf numFmtId="181" fontId="35" fillId="24" borderId="5" xfId="0" applyNumberFormat="1" applyFont="1" applyFill="1" applyBorder="1" applyAlignment="1" applyProtection="1">
      <alignment vertical="center"/>
      <protection hidden="1"/>
    </xf>
    <xf numFmtId="181" fontId="35" fillId="24" borderId="26" xfId="0" applyNumberFormat="1" applyFont="1" applyFill="1" applyBorder="1" applyAlignment="1" applyProtection="1">
      <alignment vertical="center"/>
      <protection hidden="1"/>
    </xf>
    <xf numFmtId="0" fontId="35" fillId="0" borderId="18" xfId="0" applyFont="1" applyBorder="1" applyAlignment="1" applyProtection="1">
      <alignment vertical="center" wrapText="1"/>
      <protection hidden="1"/>
    </xf>
    <xf numFmtId="189" fontId="47" fillId="11" borderId="18" xfId="0" applyNumberFormat="1" applyFont="1" applyFill="1" applyBorder="1" applyAlignment="1" applyProtection="1">
      <alignment vertical="center" wrapText="1"/>
      <protection hidden="1"/>
    </xf>
    <xf numFmtId="189" fontId="54" fillId="11" borderId="5" xfId="0" applyNumberFormat="1" applyFont="1" applyFill="1" applyBorder="1" applyAlignment="1" applyProtection="1">
      <alignment vertical="center"/>
      <protection hidden="1"/>
    </xf>
    <xf numFmtId="181" fontId="54" fillId="11" borderId="5" xfId="0" applyNumberFormat="1" applyFont="1" applyFill="1" applyBorder="1" applyAlignment="1" applyProtection="1">
      <alignment vertical="center"/>
      <protection hidden="1"/>
    </xf>
    <xf numFmtId="181" fontId="54" fillId="11" borderId="26" xfId="0" applyNumberFormat="1" applyFont="1" applyFill="1" applyBorder="1" applyAlignment="1" applyProtection="1">
      <alignment vertical="center"/>
      <protection hidden="1"/>
    </xf>
    <xf numFmtId="189" fontId="47" fillId="0" borderId="21" xfId="0" applyNumberFormat="1" applyFont="1" applyBorder="1" applyAlignment="1" applyProtection="1">
      <alignment vertical="center" wrapText="1"/>
      <protection hidden="1"/>
    </xf>
    <xf numFmtId="189" fontId="54" fillId="0" borderId="27" xfId="0" applyNumberFormat="1" applyFont="1" applyBorder="1" applyAlignment="1" applyProtection="1">
      <alignment vertical="center"/>
      <protection hidden="1"/>
    </xf>
    <xf numFmtId="189" fontId="54" fillId="0" borderId="27" xfId="0" applyNumberFormat="1" applyFont="1" applyBorder="1" applyAlignment="1" applyProtection="1">
      <alignment vertical="center" wrapText="1"/>
      <protection hidden="1"/>
    </xf>
    <xf numFmtId="189" fontId="54" fillId="0" borderId="28" xfId="0" applyNumberFormat="1" applyFont="1" applyBorder="1" applyAlignment="1" applyProtection="1">
      <alignment vertical="center" wrapText="1"/>
      <protection hidden="1"/>
    </xf>
    <xf numFmtId="0" fontId="47" fillId="0" borderId="0" xfId="0" applyFont="1" applyBorder="1" applyAlignment="1" applyProtection="1">
      <alignment vertical="center" wrapText="1"/>
      <protection hidden="1"/>
    </xf>
    <xf numFmtId="189" fontId="54" fillId="0" borderId="0" xfId="0" applyNumberFormat="1" applyFont="1" applyBorder="1" applyAlignment="1" applyProtection="1">
      <alignment vertical="center"/>
      <protection hidden="1"/>
    </xf>
    <xf numFmtId="181" fontId="54" fillId="0" borderId="0" xfId="0" applyNumberFormat="1" applyFont="1" applyBorder="1" applyAlignment="1" applyProtection="1">
      <alignment vertical="center"/>
      <protection hidden="1"/>
    </xf>
    <xf numFmtId="0" fontId="47" fillId="0" borderId="126" xfId="0" applyFont="1" applyBorder="1" applyAlignment="1" applyProtection="1">
      <alignment vertical="center" wrapText="1"/>
      <protection hidden="1"/>
    </xf>
    <xf numFmtId="0" fontId="86" fillId="0" borderId="0" xfId="0" applyFont="1"/>
    <xf numFmtId="0" fontId="35" fillId="6" borderId="0" xfId="0" applyFont="1" applyFill="1" applyProtection="1">
      <protection locked="0"/>
    </xf>
    <xf numFmtId="167" fontId="35" fillId="0" borderId="0" xfId="0" applyNumberFormat="1" applyFont="1" applyAlignment="1">
      <alignment horizontal="left"/>
    </xf>
    <xf numFmtId="0" fontId="35" fillId="0" borderId="13" xfId="0" applyFont="1" applyBorder="1"/>
    <xf numFmtId="181" fontId="146" fillId="0" borderId="0" xfId="0" applyNumberFormat="1" applyFont="1"/>
    <xf numFmtId="0" fontId="47" fillId="0" borderId="51" xfId="0" applyFont="1" applyBorder="1" applyProtection="1">
      <protection hidden="1"/>
    </xf>
    <xf numFmtId="0" fontId="35" fillId="0" borderId="32" xfId="0" applyFont="1" applyBorder="1" applyAlignment="1" applyProtection="1">
      <protection hidden="1"/>
    </xf>
    <xf numFmtId="0" fontId="35" fillId="0" borderId="4" xfId="0" applyFont="1" applyBorder="1" applyAlignment="1" applyProtection="1">
      <alignment horizontal="center"/>
      <protection hidden="1"/>
    </xf>
    <xf numFmtId="0" fontId="35" fillId="0" borderId="47" xfId="0" applyFont="1" applyBorder="1" applyAlignment="1" applyProtection="1">
      <alignment horizontal="center"/>
      <protection hidden="1"/>
    </xf>
    <xf numFmtId="0" fontId="35" fillId="0" borderId="18" xfId="0" applyFont="1" applyBorder="1" applyProtection="1">
      <protection hidden="1"/>
    </xf>
    <xf numFmtId="181" fontId="65" fillId="36" borderId="68" xfId="0" applyNumberFormat="1" applyFont="1" applyFill="1" applyBorder="1" applyProtection="1">
      <protection hidden="1"/>
    </xf>
    <xf numFmtId="181" fontId="68" fillId="36" borderId="43" xfId="0" applyNumberFormat="1" applyFont="1" applyFill="1" applyBorder="1" applyProtection="1">
      <protection hidden="1"/>
    </xf>
    <xf numFmtId="181" fontId="68" fillId="36" borderId="59" xfId="0" applyNumberFormat="1" applyFont="1" applyFill="1" applyBorder="1" applyProtection="1">
      <protection hidden="1"/>
    </xf>
    <xf numFmtId="181" fontId="35" fillId="16" borderId="27" xfId="0" applyNumberFormat="1" applyFont="1" applyFill="1" applyBorder="1" applyProtection="1">
      <protection hidden="1"/>
    </xf>
    <xf numFmtId="181" fontId="35" fillId="16" borderId="122" xfId="0" applyNumberFormat="1" applyFont="1" applyFill="1" applyBorder="1" applyProtection="1">
      <protection hidden="1"/>
    </xf>
    <xf numFmtId="0" fontId="55" fillId="25" borderId="23" xfId="0" applyFont="1" applyFill="1" applyBorder="1" applyProtection="1">
      <protection hidden="1"/>
    </xf>
    <xf numFmtId="0" fontId="35" fillId="0" borderId="21" xfId="0" applyFont="1" applyBorder="1" applyProtection="1">
      <protection hidden="1"/>
    </xf>
    <xf numFmtId="0" fontId="35" fillId="0" borderId="27" xfId="0" applyFont="1" applyBorder="1" applyAlignment="1" applyProtection="1">
      <alignment horizontal="center"/>
      <protection hidden="1"/>
    </xf>
    <xf numFmtId="0" fontId="35" fillId="0" borderId="28" xfId="0" applyFont="1" applyBorder="1" applyAlignment="1" applyProtection="1">
      <alignment horizontal="center"/>
      <protection hidden="1"/>
    </xf>
    <xf numFmtId="0" fontId="47" fillId="0" borderId="23" xfId="0" applyFont="1" applyBorder="1" applyProtection="1">
      <protection hidden="1"/>
    </xf>
    <xf numFmtId="0" fontId="106" fillId="0" borderId="24" xfId="0" applyFont="1" applyBorder="1"/>
    <xf numFmtId="0" fontId="106" fillId="0" borderId="25" xfId="0" applyFont="1" applyBorder="1"/>
    <xf numFmtId="0" fontId="106" fillId="0" borderId="5" xfId="0" applyFont="1" applyBorder="1"/>
    <xf numFmtId="0" fontId="47" fillId="0" borderId="18" xfId="0" applyFont="1" applyBorder="1"/>
    <xf numFmtId="0" fontId="106" fillId="0" borderId="26" xfId="0" applyFont="1" applyBorder="1"/>
    <xf numFmtId="0" fontId="106" fillId="0" borderId="27" xfId="0" applyFont="1" applyBorder="1"/>
    <xf numFmtId="0" fontId="106" fillId="0" borderId="0" xfId="0" applyFont="1" applyBorder="1"/>
    <xf numFmtId="0" fontId="55" fillId="40" borderId="23" xfId="0" applyFont="1" applyFill="1" applyBorder="1"/>
    <xf numFmtId="0" fontId="35" fillId="0" borderId="24" xfId="0" applyFont="1" applyBorder="1"/>
    <xf numFmtId="0" fontId="35" fillId="0" borderId="25" xfId="0" applyFont="1" applyBorder="1"/>
    <xf numFmtId="181" fontId="35" fillId="0" borderId="26" xfId="0" applyNumberFormat="1" applyFont="1" applyBorder="1"/>
    <xf numFmtId="0" fontId="35" fillId="0" borderId="73" xfId="0" applyFont="1" applyBorder="1"/>
    <xf numFmtId="0" fontId="35" fillId="0" borderId="74" xfId="0" applyFont="1" applyBorder="1"/>
    <xf numFmtId="181" fontId="35" fillId="0" borderId="74" xfId="0" applyNumberFormat="1" applyFont="1" applyBorder="1"/>
    <xf numFmtId="181" fontId="35" fillId="0" borderId="75" xfId="0" applyNumberFormat="1" applyFont="1" applyBorder="1"/>
    <xf numFmtId="0" fontId="35" fillId="0" borderId="11" xfId="0" applyFont="1" applyBorder="1"/>
    <xf numFmtId="0" fontId="35" fillId="21" borderId="21" xfId="0" applyFont="1" applyFill="1" applyBorder="1"/>
    <xf numFmtId="0" fontId="35" fillId="11" borderId="27" xfId="0" applyFont="1" applyFill="1" applyBorder="1"/>
    <xf numFmtId="181" fontId="35" fillId="11" borderId="27" xfId="0" applyNumberFormat="1" applyFont="1" applyFill="1" applyBorder="1"/>
    <xf numFmtId="181" fontId="35" fillId="11" borderId="28" xfId="0" applyNumberFormat="1" applyFont="1" applyFill="1" applyBorder="1"/>
    <xf numFmtId="0" fontId="86" fillId="0" borderId="50" xfId="0" applyFont="1" applyBorder="1"/>
    <xf numFmtId="0" fontId="35" fillId="21" borderId="18" xfId="0" applyFont="1" applyFill="1" applyBorder="1"/>
    <xf numFmtId="0" fontId="35" fillId="0" borderId="26" xfId="0" applyFont="1" applyBorder="1"/>
    <xf numFmtId="181" fontId="47" fillId="11" borderId="27" xfId="0" applyNumberFormat="1" applyFont="1" applyFill="1" applyBorder="1"/>
    <xf numFmtId="181" fontId="47" fillId="11" borderId="28" xfId="0" applyNumberFormat="1" applyFont="1" applyFill="1" applyBorder="1"/>
    <xf numFmtId="0" fontId="148" fillId="0" borderId="0" xfId="0" applyFont="1"/>
    <xf numFmtId="0" fontId="106" fillId="0" borderId="50" xfId="0" applyFont="1" applyBorder="1"/>
    <xf numFmtId="0" fontId="106" fillId="0" borderId="56" xfId="0" applyFont="1" applyBorder="1"/>
    <xf numFmtId="0" fontId="35" fillId="16" borderId="23" xfId="0" applyFont="1" applyFill="1" applyBorder="1" applyProtection="1">
      <protection hidden="1"/>
    </xf>
    <xf numFmtId="0" fontId="0" fillId="25" borderId="24" xfId="0" applyFill="1" applyBorder="1"/>
    <xf numFmtId="0" fontId="35" fillId="0" borderId="73" xfId="0" applyFont="1" applyBorder="1" applyProtection="1">
      <protection hidden="1"/>
    </xf>
    <xf numFmtId="0" fontId="0" fillId="0" borderId="74" xfId="0" applyBorder="1"/>
    <xf numFmtId="0" fontId="47" fillId="21" borderId="53" xfId="0" applyFont="1" applyFill="1" applyBorder="1" applyProtection="1">
      <protection hidden="1"/>
    </xf>
    <xf numFmtId="0" fontId="0" fillId="21" borderId="40" xfId="0" applyFill="1" applyBorder="1"/>
    <xf numFmtId="181" fontId="47" fillId="21" borderId="40" xfId="0" applyNumberFormat="1" applyFont="1" applyFill="1" applyBorder="1" applyProtection="1">
      <protection hidden="1"/>
    </xf>
    <xf numFmtId="181" fontId="47" fillId="21" borderId="41" xfId="0" applyNumberFormat="1" applyFont="1" applyFill="1" applyBorder="1" applyProtection="1">
      <protection hidden="1"/>
    </xf>
    <xf numFmtId="0" fontId="106" fillId="0" borderId="0" xfId="0" applyFont="1"/>
    <xf numFmtId="49" fontId="95" fillId="0" borderId="18" xfId="0" applyNumberFormat="1" applyFont="1" applyBorder="1" applyProtection="1">
      <protection hidden="1"/>
    </xf>
    <xf numFmtId="181" fontId="66" fillId="0" borderId="26" xfId="0" applyNumberFormat="1" applyFont="1" applyBorder="1" applyProtection="1">
      <protection hidden="1"/>
    </xf>
    <xf numFmtId="0" fontId="90" fillId="0" borderId="18" xfId="0" applyFont="1" applyBorder="1" applyProtection="1">
      <protection hidden="1"/>
    </xf>
    <xf numFmtId="181" fontId="87" fillId="0" borderId="5" xfId="0" applyNumberFormat="1" applyFont="1" applyBorder="1" applyProtection="1">
      <protection hidden="1"/>
    </xf>
    <xf numFmtId="181" fontId="87" fillId="0" borderId="26" xfId="0" applyNumberFormat="1" applyFont="1" applyBorder="1" applyProtection="1">
      <protection hidden="1"/>
    </xf>
    <xf numFmtId="0" fontId="90" fillId="0" borderId="50" xfId="0" applyFont="1" applyBorder="1" applyProtection="1">
      <protection hidden="1"/>
    </xf>
    <xf numFmtId="0" fontId="149" fillId="0" borderId="5" xfId="0" applyFont="1" applyBorder="1" applyAlignment="1" applyProtection="1">
      <alignment horizontal="center"/>
      <protection hidden="1"/>
    </xf>
    <xf numFmtId="0" fontId="149" fillId="0" borderId="26" xfId="0" applyFont="1" applyBorder="1" applyAlignment="1" applyProtection="1">
      <alignment horizontal="center"/>
      <protection hidden="1"/>
    </xf>
    <xf numFmtId="1" fontId="68" fillId="0" borderId="0" xfId="0" applyNumberFormat="1" applyFont="1" applyProtection="1">
      <protection hidden="1"/>
    </xf>
    <xf numFmtId="0" fontId="90" fillId="0" borderId="18" xfId="0" applyFont="1" applyBorder="1" applyProtection="1">
      <protection hidden="1"/>
    </xf>
    <xf numFmtId="0" fontId="66" fillId="0" borderId="127" xfId="0" applyFont="1" applyBorder="1" applyProtection="1">
      <protection hidden="1"/>
    </xf>
    <xf numFmtId="181" fontId="35" fillId="0" borderId="125" xfId="0" applyNumberFormat="1" applyFont="1" applyBorder="1" applyProtection="1">
      <protection hidden="1"/>
    </xf>
    <xf numFmtId="0" fontId="66" fillId="0" borderId="37" xfId="0" applyFont="1" applyBorder="1" applyProtection="1">
      <protection hidden="1"/>
    </xf>
    <xf numFmtId="181" fontId="35" fillId="25" borderId="5" xfId="0" applyNumberFormat="1" applyFont="1" applyFill="1" applyBorder="1" applyProtection="1">
      <protection hidden="1"/>
    </xf>
    <xf numFmtId="0" fontId="66" fillId="0" borderId="73" xfId="0" applyFont="1" applyBorder="1" applyProtection="1">
      <protection hidden="1"/>
    </xf>
    <xf numFmtId="0" fontId="76" fillId="0" borderId="60" xfId="0" applyFont="1" applyBorder="1" applyProtection="1">
      <protection hidden="1"/>
    </xf>
    <xf numFmtId="181" fontId="140" fillId="16" borderId="20" xfId="0" applyNumberFormat="1" applyFont="1" applyFill="1" applyBorder="1" applyProtection="1">
      <protection hidden="1"/>
    </xf>
    <xf numFmtId="0" fontId="76" fillId="0" borderId="73" xfId="0" applyFont="1" applyBorder="1" applyProtection="1">
      <protection hidden="1"/>
    </xf>
    <xf numFmtId="189" fontId="140" fillId="0" borderId="74" xfId="0" applyNumberFormat="1" applyFont="1" applyBorder="1" applyProtection="1">
      <protection hidden="1"/>
    </xf>
    <xf numFmtId="189" fontId="66" fillId="0" borderId="0" xfId="0" applyNumberFormat="1" applyFont="1" applyProtection="1">
      <protection hidden="1"/>
    </xf>
    <xf numFmtId="0" fontId="96" fillId="6" borderId="0" xfId="0" applyFont="1" applyFill="1" applyProtection="1">
      <protection hidden="1"/>
    </xf>
    <xf numFmtId="0" fontId="35" fillId="6" borderId="0" xfId="0" applyFont="1" applyFill="1" applyProtection="1">
      <protection hidden="1"/>
    </xf>
    <xf numFmtId="181" fontId="35" fillId="0" borderId="128" xfId="0" applyNumberFormat="1" applyFont="1" applyBorder="1" applyProtection="1">
      <protection hidden="1"/>
    </xf>
    <xf numFmtId="181" fontId="47" fillId="0" borderId="33" xfId="0" applyNumberFormat="1" applyFont="1" applyBorder="1" applyProtection="1">
      <protection hidden="1"/>
    </xf>
    <xf numFmtId="1" fontId="35" fillId="0" borderId="0" xfId="0" applyNumberFormat="1" applyFont="1" applyBorder="1" applyAlignment="1" applyProtection="1">
      <alignment horizontal="center"/>
      <protection hidden="1"/>
    </xf>
    <xf numFmtId="0" fontId="96" fillId="6" borderId="0" xfId="0" applyFont="1" applyFill="1" applyBorder="1" applyProtection="1">
      <protection hidden="1"/>
    </xf>
    <xf numFmtId="0" fontId="35" fillId="6" borderId="0" xfId="0" applyFont="1" applyFill="1" applyBorder="1" applyProtection="1">
      <protection hidden="1"/>
    </xf>
    <xf numFmtId="0" fontId="92" fillId="0" borderId="30" xfId="0" applyFont="1" applyBorder="1" applyProtection="1">
      <protection hidden="1"/>
    </xf>
    <xf numFmtId="0" fontId="96" fillId="0" borderId="12" xfId="0" applyFont="1" applyBorder="1" applyProtection="1">
      <protection hidden="1"/>
    </xf>
    <xf numFmtId="0" fontId="35" fillId="0" borderId="12" xfId="0" applyFont="1" applyBorder="1" applyProtection="1">
      <protection hidden="1"/>
    </xf>
    <xf numFmtId="0" fontId="96" fillId="0" borderId="0" xfId="0" applyFont="1" applyAlignment="1" applyProtection="1">
      <alignment horizontal="center"/>
      <protection hidden="1"/>
    </xf>
    <xf numFmtId="0" fontId="35" fillId="0" borderId="3" xfId="0" applyFont="1" applyBorder="1" applyProtection="1">
      <protection hidden="1"/>
    </xf>
    <xf numFmtId="181" fontId="35" fillId="16" borderId="81" xfId="0" applyNumberFormat="1" applyFont="1" applyFill="1" applyBorder="1" applyProtection="1">
      <protection hidden="1"/>
    </xf>
    <xf numFmtId="0" fontId="47" fillId="0" borderId="8" xfId="0" applyFont="1" applyBorder="1" applyProtection="1">
      <protection hidden="1"/>
    </xf>
    <xf numFmtId="181" fontId="35" fillId="16" borderId="14" xfId="0" applyNumberFormat="1" applyFont="1" applyFill="1" applyBorder="1" applyProtection="1">
      <protection hidden="1"/>
    </xf>
    <xf numFmtId="181" fontId="47" fillId="0" borderId="0" xfId="0" applyNumberFormat="1" applyFont="1" applyAlignment="1" applyProtection="1">
      <alignment horizontal="center"/>
      <protection hidden="1"/>
    </xf>
    <xf numFmtId="0" fontId="35" fillId="0" borderId="0" xfId="0" applyFont="1" applyAlignment="1" applyProtection="1">
      <alignment horizontal="center"/>
      <protection hidden="1"/>
    </xf>
    <xf numFmtId="0" fontId="96" fillId="38" borderId="0" xfId="0" applyFont="1" applyFill="1" applyProtection="1">
      <protection hidden="1"/>
    </xf>
    <xf numFmtId="0" fontId="35" fillId="38" borderId="0" xfId="0" applyFont="1" applyFill="1" applyProtection="1">
      <protection hidden="1"/>
    </xf>
    <xf numFmtId="0" fontId="35" fillId="16" borderId="35" xfId="0" applyFont="1" applyFill="1" applyBorder="1" applyProtection="1">
      <protection hidden="1"/>
    </xf>
    <xf numFmtId="0" fontId="47" fillId="16" borderId="129" xfId="0" applyFont="1" applyFill="1" applyBorder="1" applyAlignment="1" applyProtection="1">
      <alignment horizontal="center"/>
      <protection hidden="1"/>
    </xf>
    <xf numFmtId="0" fontId="35" fillId="0" borderId="130" xfId="0" applyFont="1" applyBorder="1" applyProtection="1">
      <protection hidden="1"/>
    </xf>
    <xf numFmtId="0" fontId="35" fillId="0" borderId="57" xfId="0" applyFont="1" applyBorder="1" applyProtection="1">
      <protection hidden="1"/>
    </xf>
    <xf numFmtId="0" fontId="47" fillId="0" borderId="72" xfId="0" applyFont="1" applyBorder="1" applyProtection="1">
      <protection hidden="1"/>
    </xf>
    <xf numFmtId="181" fontId="35" fillId="0" borderId="16" xfId="0" applyNumberFormat="1" applyFont="1" applyBorder="1" applyProtection="1">
      <protection hidden="1"/>
    </xf>
    <xf numFmtId="0" fontId="35" fillId="0" borderId="72" xfId="0" applyFont="1" applyBorder="1" applyProtection="1">
      <protection hidden="1"/>
    </xf>
    <xf numFmtId="181" fontId="35" fillId="0" borderId="76" xfId="0" applyNumberFormat="1" applyFont="1" applyBorder="1" applyProtection="1">
      <protection hidden="1"/>
    </xf>
    <xf numFmtId="181" fontId="35" fillId="0" borderId="14" xfId="0" applyNumberFormat="1" applyFont="1" applyBorder="1" applyProtection="1">
      <protection hidden="1"/>
    </xf>
    <xf numFmtId="0" fontId="47" fillId="38" borderId="77" xfId="0" applyFont="1" applyFill="1" applyBorder="1" applyProtection="1">
      <protection hidden="1"/>
    </xf>
    <xf numFmtId="181" fontId="47" fillId="38" borderId="85" xfId="0" applyNumberFormat="1" applyFont="1" applyFill="1" applyBorder="1" applyProtection="1">
      <protection hidden="1"/>
    </xf>
    <xf numFmtId="181" fontId="47" fillId="38" borderId="27" xfId="0" applyNumberFormat="1" applyFont="1" applyFill="1" applyBorder="1" applyProtection="1">
      <protection hidden="1"/>
    </xf>
    <xf numFmtId="181" fontId="47" fillId="38" borderId="28" xfId="0" applyNumberFormat="1" applyFont="1" applyFill="1" applyBorder="1" applyProtection="1">
      <protection hidden="1"/>
    </xf>
    <xf numFmtId="0" fontId="68" fillId="36" borderId="48" xfId="0" applyFont="1" applyFill="1" applyBorder="1"/>
    <xf numFmtId="0" fontId="65" fillId="36" borderId="44" xfId="0" applyFont="1" applyFill="1" applyBorder="1"/>
    <xf numFmtId="0" fontId="81" fillId="36" borderId="44" xfId="0" applyFont="1" applyFill="1" applyBorder="1"/>
    <xf numFmtId="0" fontId="76" fillId="36" borderId="44" xfId="0" applyFont="1" applyFill="1" applyBorder="1"/>
    <xf numFmtId="0" fontId="68" fillId="36" borderId="44" xfId="0" applyFont="1" applyFill="1" applyBorder="1"/>
    <xf numFmtId="0" fontId="68" fillId="36" borderId="45" xfId="0" applyFont="1" applyFill="1" applyBorder="1"/>
    <xf numFmtId="0" fontId="54" fillId="0" borderId="69" xfId="0" applyFont="1" applyBorder="1"/>
    <xf numFmtId="0" fontId="54" fillId="0" borderId="13" xfId="0" applyFont="1" applyBorder="1"/>
    <xf numFmtId="167" fontId="54" fillId="0" borderId="13" xfId="0" applyNumberFormat="1" applyFont="1" applyBorder="1" applyProtection="1">
      <protection hidden="1"/>
    </xf>
    <xf numFmtId="167" fontId="35" fillId="0" borderId="13" xfId="0" applyNumberFormat="1" applyFont="1" applyBorder="1" applyProtection="1">
      <protection hidden="1"/>
    </xf>
    <xf numFmtId="0" fontId="68" fillId="0" borderId="13" xfId="0" applyFont="1" applyBorder="1" applyProtection="1">
      <protection hidden="1"/>
    </xf>
    <xf numFmtId="1" fontId="68" fillId="0" borderId="13" xfId="0" applyNumberFormat="1" applyFont="1" applyBorder="1" applyAlignment="1" applyProtection="1">
      <alignment horizontal="center"/>
      <protection hidden="1"/>
    </xf>
    <xf numFmtId="0" fontId="68" fillId="0" borderId="47" xfId="0" applyFont="1" applyBorder="1" applyProtection="1">
      <protection hidden="1"/>
    </xf>
    <xf numFmtId="0" fontId="66" fillId="36" borderId="48" xfId="0" applyFont="1" applyFill="1" applyBorder="1"/>
    <xf numFmtId="0" fontId="71" fillId="36" borderId="44" xfId="0" applyFont="1" applyFill="1" applyBorder="1"/>
    <xf numFmtId="0" fontId="66" fillId="36" borderId="44" xfId="0" applyFont="1" applyFill="1" applyBorder="1"/>
    <xf numFmtId="0" fontId="66" fillId="36" borderId="45" xfId="0" applyFont="1" applyFill="1" applyBorder="1"/>
    <xf numFmtId="0" fontId="35" fillId="16" borderId="24" xfId="0" applyFont="1" applyFill="1" applyBorder="1" applyAlignment="1">
      <alignment horizontal="center"/>
    </xf>
    <xf numFmtId="1" fontId="35" fillId="0" borderId="24" xfId="0" applyNumberFormat="1" applyFont="1" applyBorder="1" applyAlignment="1" applyProtection="1">
      <alignment horizontal="center"/>
      <protection hidden="1"/>
    </xf>
    <xf numFmtId="0" fontId="35" fillId="16" borderId="25" xfId="0" applyFont="1" applyFill="1" applyBorder="1" applyAlignment="1">
      <alignment horizontal="center"/>
    </xf>
    <xf numFmtId="1" fontId="74" fillId="0" borderId="5" xfId="0" applyNumberFormat="1" applyFont="1" applyBorder="1" applyAlignment="1" applyProtection="1">
      <alignment horizontal="center"/>
      <protection hidden="1"/>
    </xf>
    <xf numFmtId="0" fontId="35" fillId="0" borderId="5" xfId="0" applyFont="1" applyBorder="1" applyProtection="1"/>
    <xf numFmtId="0" fontId="35" fillId="0" borderId="26" xfId="0" applyFont="1" applyBorder="1" applyProtection="1"/>
    <xf numFmtId="49" fontId="35" fillId="6" borderId="5" xfId="0" applyNumberFormat="1" applyFont="1" applyFill="1" applyBorder="1" applyAlignment="1" applyProtection="1">
      <alignment horizontal="center"/>
      <protection locked="0"/>
    </xf>
    <xf numFmtId="49" fontId="35" fillId="6" borderId="26" xfId="0" applyNumberFormat="1" applyFont="1" applyFill="1" applyBorder="1" applyAlignment="1" applyProtection="1">
      <alignment horizontal="center"/>
      <protection locked="0"/>
    </xf>
    <xf numFmtId="0" fontId="35" fillId="0" borderId="37" xfId="0" applyFont="1" applyBorder="1"/>
    <xf numFmtId="0" fontId="35" fillId="0" borderId="5" xfId="0" applyFont="1" applyBorder="1" applyAlignment="1">
      <alignment horizontal="center"/>
    </xf>
    <xf numFmtId="0" fontId="35" fillId="0" borderId="22" xfId="0" applyFont="1" applyBorder="1" applyAlignment="1" applyProtection="1">
      <alignment horizontal="center"/>
      <protection locked="0"/>
    </xf>
    <xf numFmtId="0" fontId="74" fillId="0" borderId="22" xfId="0" applyFont="1" applyBorder="1" applyAlignment="1" applyProtection="1">
      <alignment horizontal="center"/>
      <protection hidden="1"/>
    </xf>
    <xf numFmtId="0" fontId="35" fillId="0" borderId="22" xfId="0" applyFont="1" applyBorder="1" applyAlignment="1" applyProtection="1">
      <alignment horizontal="center"/>
    </xf>
    <xf numFmtId="0" fontId="35" fillId="0" borderId="39" xfId="0" applyFont="1" applyBorder="1" applyAlignment="1" applyProtection="1">
      <alignment horizontal="center"/>
    </xf>
    <xf numFmtId="167" fontId="35" fillId="6" borderId="26" xfId="0" applyNumberFormat="1" applyFont="1" applyFill="1" applyBorder="1" applyAlignment="1" applyProtection="1">
      <alignment horizontal="center"/>
      <protection locked="0"/>
    </xf>
    <xf numFmtId="181" fontId="35" fillId="6" borderId="26" xfId="0" applyNumberFormat="1" applyFont="1" applyFill="1" applyBorder="1" applyAlignment="1" applyProtection="1">
      <alignment horizontal="center"/>
      <protection locked="0"/>
    </xf>
    <xf numFmtId="181" fontId="35" fillId="6" borderId="27" xfId="0" applyNumberFormat="1" applyFont="1" applyFill="1" applyBorder="1" applyAlignment="1" applyProtection="1">
      <alignment horizontal="center"/>
      <protection locked="0"/>
    </xf>
    <xf numFmtId="181" fontId="35" fillId="6" borderId="28" xfId="0" applyNumberFormat="1" applyFont="1" applyFill="1" applyBorder="1" applyAlignment="1" applyProtection="1">
      <alignment horizontal="center"/>
      <protection locked="0"/>
    </xf>
    <xf numFmtId="181" fontId="35" fillId="0" borderId="24" xfId="0" applyNumberFormat="1" applyFont="1" applyBorder="1"/>
    <xf numFmtId="181" fontId="35" fillId="0" borderId="25" xfId="0" applyNumberFormat="1" applyFont="1" applyBorder="1" applyProtection="1"/>
    <xf numFmtId="1" fontId="35" fillId="0" borderId="5" xfId="0" applyNumberFormat="1" applyFont="1" applyBorder="1" applyProtection="1"/>
    <xf numFmtId="181" fontId="81" fillId="0" borderId="5" xfId="0" applyNumberFormat="1" applyFont="1" applyBorder="1" applyAlignment="1">
      <alignment horizontal="center"/>
    </xf>
    <xf numFmtId="0" fontId="35" fillId="6" borderId="5" xfId="0" applyFont="1" applyFill="1" applyBorder="1" applyAlignment="1" applyProtection="1">
      <alignment horizontal="center"/>
      <protection locked="0"/>
    </xf>
    <xf numFmtId="0" fontId="35" fillId="6" borderId="26" xfId="0" applyFont="1" applyFill="1" applyBorder="1" applyAlignment="1" applyProtection="1">
      <alignment horizontal="center"/>
      <protection locked="0"/>
    </xf>
    <xf numFmtId="0" fontId="35" fillId="6" borderId="10" xfId="0" applyFont="1" applyFill="1" applyBorder="1" applyAlignment="1" applyProtection="1">
      <alignment horizontal="center"/>
      <protection locked="0"/>
    </xf>
    <xf numFmtId="181" fontId="68" fillId="0" borderId="5" xfId="0" applyNumberFormat="1" applyFont="1" applyBorder="1" applyProtection="1"/>
    <xf numFmtId="181" fontId="68" fillId="0" borderId="26" xfId="0" applyNumberFormat="1" applyFont="1" applyBorder="1" applyProtection="1"/>
    <xf numFmtId="0" fontId="35" fillId="6" borderId="27" xfId="0" applyFont="1" applyFill="1" applyBorder="1" applyAlignment="1" applyProtection="1">
      <alignment horizontal="center"/>
      <protection locked="0"/>
    </xf>
    <xf numFmtId="0" fontId="35" fillId="6" borderId="28" xfId="0" applyFont="1" applyFill="1" applyBorder="1" applyAlignment="1" applyProtection="1">
      <alignment horizontal="center"/>
      <protection locked="0"/>
    </xf>
    <xf numFmtId="181" fontId="74" fillId="0" borderId="5" xfId="0" applyNumberFormat="1" applyFont="1" applyBorder="1" applyAlignment="1" applyProtection="1">
      <alignment horizontal="right"/>
    </xf>
    <xf numFmtId="49" fontId="35" fillId="6" borderId="49" xfId="0" applyNumberFormat="1" applyFont="1" applyFill="1" applyBorder="1" applyProtection="1">
      <protection locked="0"/>
    </xf>
    <xf numFmtId="0" fontId="35" fillId="6" borderId="49" xfId="0" applyFont="1" applyFill="1" applyBorder="1" applyProtection="1">
      <protection locked="0"/>
    </xf>
    <xf numFmtId="0" fontId="35" fillId="0" borderId="49" xfId="0" applyFont="1" applyBorder="1" applyProtection="1">
      <protection locked="0"/>
    </xf>
    <xf numFmtId="0" fontId="35" fillId="6" borderId="49" xfId="0" applyFont="1" applyFill="1" applyBorder="1" applyProtection="1">
      <protection locked="0"/>
    </xf>
    <xf numFmtId="181" fontId="66" fillId="0" borderId="26" xfId="0" applyNumberFormat="1" applyFont="1" applyBorder="1"/>
    <xf numFmtId="181" fontId="47" fillId="0" borderId="5" xfId="0" applyNumberFormat="1" applyFont="1" applyBorder="1"/>
    <xf numFmtId="181" fontId="47" fillId="0" borderId="26" xfId="0" applyNumberFormat="1" applyFont="1" applyBorder="1"/>
    <xf numFmtId="0" fontId="35" fillId="6" borderId="52" xfId="0" applyFont="1" applyFill="1" applyBorder="1" applyProtection="1">
      <protection locked="0"/>
    </xf>
    <xf numFmtId="181" fontId="35" fillId="6" borderId="27" xfId="0" applyNumberFormat="1" applyFont="1" applyFill="1" applyBorder="1" applyAlignment="1" applyProtection="1">
      <alignment horizontal="right"/>
      <protection locked="0"/>
    </xf>
    <xf numFmtId="181" fontId="74" fillId="0" borderId="27" xfId="0" applyNumberFormat="1" applyFont="1" applyBorder="1" applyAlignment="1" applyProtection="1">
      <alignment horizontal="right"/>
    </xf>
    <xf numFmtId="181" fontId="35" fillId="0" borderId="27" xfId="0" applyNumberFormat="1" applyFont="1" applyBorder="1" applyProtection="1"/>
    <xf numFmtId="181" fontId="35" fillId="0" borderId="28" xfId="0" applyNumberFormat="1" applyFont="1" applyBorder="1" applyProtection="1"/>
    <xf numFmtId="0" fontId="54" fillId="15" borderId="51" xfId="0" applyFont="1" applyFill="1" applyBorder="1"/>
    <xf numFmtId="0" fontId="35" fillId="0" borderId="24" xfId="0" applyFont="1" applyBorder="1"/>
    <xf numFmtId="0" fontId="35" fillId="0" borderId="25" xfId="0" applyFont="1" applyBorder="1"/>
    <xf numFmtId="1" fontId="35" fillId="6" borderId="5" xfId="0" applyNumberFormat="1" applyFont="1" applyFill="1" applyBorder="1" applyAlignment="1" applyProtection="1">
      <alignment horizontal="center"/>
      <protection locked="0"/>
    </xf>
    <xf numFmtId="1" fontId="35" fillId="6" borderId="26" xfId="0" applyNumberFormat="1" applyFont="1" applyFill="1" applyBorder="1" applyAlignment="1" applyProtection="1">
      <alignment horizontal="center"/>
      <protection locked="0"/>
    </xf>
    <xf numFmtId="3" fontId="35" fillId="6" borderId="5" xfId="0" applyNumberFormat="1" applyFont="1" applyFill="1" applyBorder="1" applyAlignment="1" applyProtection="1">
      <alignment horizontal="center"/>
      <protection locked="0"/>
    </xf>
    <xf numFmtId="3" fontId="35" fillId="6" borderId="26" xfId="0" applyNumberFormat="1" applyFont="1" applyFill="1" applyBorder="1" applyAlignment="1" applyProtection="1">
      <alignment horizontal="center"/>
      <protection locked="0"/>
    </xf>
    <xf numFmtId="0" fontId="86" fillId="0" borderId="18" xfId="0" applyFont="1" applyBorder="1" applyAlignment="1">
      <alignment horizontal="left" wrapText="1" readingOrder="1"/>
    </xf>
    <xf numFmtId="0" fontId="47" fillId="5" borderId="18" xfId="0" applyFont="1" applyFill="1" applyBorder="1"/>
    <xf numFmtId="182" fontId="35" fillId="6" borderId="5" xfId="0" applyNumberFormat="1" applyFont="1" applyFill="1" applyBorder="1" applyAlignment="1" applyProtection="1">
      <alignment horizontal="center"/>
      <protection locked="0"/>
    </xf>
    <xf numFmtId="182" fontId="35" fillId="6" borderId="26" xfId="0" applyNumberFormat="1" applyFont="1" applyFill="1" applyBorder="1" applyAlignment="1" applyProtection="1">
      <alignment horizontal="center"/>
      <protection locked="0"/>
    </xf>
    <xf numFmtId="0" fontId="87" fillId="0" borderId="18" xfId="0" applyFont="1" applyBorder="1"/>
    <xf numFmtId="181" fontId="35" fillId="6" borderId="24" xfId="0" applyNumberFormat="1" applyFont="1" applyFill="1" applyBorder="1" applyProtection="1">
      <protection locked="0"/>
    </xf>
    <xf numFmtId="181" fontId="35" fillId="6" borderId="25" xfId="0" applyNumberFormat="1" applyFont="1" applyFill="1" applyBorder="1" applyProtection="1">
      <protection locked="0"/>
    </xf>
    <xf numFmtId="0" fontId="89" fillId="5" borderId="18" xfId="0" applyFont="1" applyFill="1" applyBorder="1"/>
    <xf numFmtId="0" fontId="90" fillId="0" borderId="18" xfId="0" applyFont="1" applyBorder="1" applyProtection="1">
      <protection hidden="1"/>
    </xf>
    <xf numFmtId="0" fontId="35" fillId="5" borderId="51" xfId="0" applyFont="1" applyFill="1" applyBorder="1"/>
    <xf numFmtId="181" fontId="35" fillId="6" borderId="11" xfId="0" applyNumberFormat="1" applyFont="1" applyFill="1" applyBorder="1" applyProtection="1">
      <protection locked="0"/>
    </xf>
    <xf numFmtId="181" fontId="35" fillId="6" borderId="46" xfId="0" applyNumberFormat="1" applyFont="1" applyFill="1" applyBorder="1" applyProtection="1">
      <protection locked="0"/>
    </xf>
    <xf numFmtId="181" fontId="35" fillId="6" borderId="26" xfId="0" applyNumberFormat="1" applyFont="1" applyFill="1" applyBorder="1" applyAlignment="1" applyProtection="1">
      <alignment horizontal="right"/>
      <protection locked="0"/>
    </xf>
    <xf numFmtId="0" fontId="35" fillId="5" borderId="21" xfId="0" applyFont="1" applyFill="1" applyBorder="1" applyProtection="1"/>
    <xf numFmtId="181" fontId="87" fillId="0" borderId="50" xfId="0" applyNumberFormat="1" applyFont="1" applyBorder="1" applyAlignment="1" applyProtection="1">
      <alignment horizontal="left"/>
      <protection hidden="1"/>
    </xf>
    <xf numFmtId="181" fontId="35" fillId="2" borderId="81" xfId="0" applyNumberFormat="1" applyFont="1" applyFill="1" applyBorder="1" applyAlignment="1" applyProtection="1">
      <alignment horizontal="right"/>
      <protection hidden="1"/>
    </xf>
    <xf numFmtId="181" fontId="35" fillId="0" borderId="0" xfId="0" applyNumberFormat="1" applyFont="1" applyBorder="1"/>
    <xf numFmtId="181" fontId="35" fillId="0" borderId="56" xfId="0" applyNumberFormat="1" applyFont="1" applyBorder="1"/>
    <xf numFmtId="0" fontId="89" fillId="20" borderId="18" xfId="0" applyFont="1" applyFill="1" applyBorder="1"/>
    <xf numFmtId="49" fontId="89" fillId="6" borderId="5" xfId="0" applyNumberFormat="1" applyFont="1" applyFill="1" applyBorder="1" applyAlignment="1" applyProtection="1">
      <alignment horizontal="center"/>
      <protection locked="0"/>
    </xf>
    <xf numFmtId="49" fontId="89" fillId="6" borderId="26" xfId="0" applyNumberFormat="1" applyFont="1" applyFill="1" applyBorder="1" applyAlignment="1" applyProtection="1">
      <alignment horizontal="center"/>
      <protection locked="0"/>
    </xf>
    <xf numFmtId="0" fontId="90" fillId="4" borderId="18" xfId="0" applyFont="1" applyFill="1" applyBorder="1" applyProtection="1">
      <protection hidden="1"/>
    </xf>
    <xf numFmtId="0" fontId="78" fillId="4" borderId="37" xfId="0" applyFont="1" applyFill="1" applyBorder="1" applyProtection="1">
      <protection hidden="1"/>
    </xf>
    <xf numFmtId="0" fontId="35" fillId="0" borderId="50" xfId="0" applyFont="1" applyBorder="1"/>
    <xf numFmtId="181" fontId="66" fillId="19" borderId="0" xfId="0" applyNumberFormat="1" applyFont="1" applyFill="1"/>
    <xf numFmtId="0" fontId="92" fillId="38" borderId="23" xfId="0" applyFont="1" applyFill="1" applyBorder="1"/>
    <xf numFmtId="181" fontId="35" fillId="0" borderId="24" xfId="0" applyNumberFormat="1" applyFont="1" applyBorder="1" applyProtection="1"/>
    <xf numFmtId="181" fontId="35" fillId="0" borderId="25" xfId="0" applyNumberFormat="1" applyFont="1" applyBorder="1" applyProtection="1"/>
    <xf numFmtId="0" fontId="35" fillId="38" borderId="18" xfId="0" applyFont="1" applyFill="1" applyBorder="1" applyAlignment="1"/>
    <xf numFmtId="0" fontId="35" fillId="38" borderId="21" xfId="0" applyFont="1" applyFill="1" applyBorder="1"/>
    <xf numFmtId="0" fontId="92" fillId="6" borderId="23" xfId="0" applyFont="1" applyFill="1" applyBorder="1" applyProtection="1">
      <protection locked="0"/>
    </xf>
    <xf numFmtId="0" fontId="35" fillId="41" borderId="18" xfId="0" applyFont="1" applyFill="1" applyBorder="1"/>
    <xf numFmtId="181" fontId="35" fillId="6" borderId="22" xfId="0" applyNumberFormat="1" applyFont="1" applyFill="1" applyBorder="1" applyProtection="1">
      <protection locked="0"/>
    </xf>
    <xf numFmtId="181" fontId="35" fillId="6" borderId="39" xfId="0" applyNumberFormat="1" applyFont="1" applyFill="1" applyBorder="1" applyProtection="1">
      <protection locked="0"/>
    </xf>
    <xf numFmtId="181" fontId="35" fillId="6" borderId="5" xfId="0" applyNumberFormat="1" applyFont="1" applyFill="1" applyBorder="1" applyProtection="1">
      <protection locked="0" hidden="1"/>
    </xf>
    <xf numFmtId="181" fontId="35" fillId="6" borderId="26" xfId="0" applyNumberFormat="1" applyFont="1" applyFill="1" applyBorder="1" applyProtection="1">
      <protection locked="0" hidden="1"/>
    </xf>
    <xf numFmtId="0" fontId="74" fillId="0" borderId="22" xfId="0" applyFont="1" applyBorder="1" applyAlignment="1" applyProtection="1">
      <alignment horizontal="center"/>
    </xf>
    <xf numFmtId="0" fontId="35" fillId="23" borderId="18" xfId="0" applyFont="1" applyFill="1" applyBorder="1"/>
    <xf numFmtId="181" fontId="35" fillId="6" borderId="40" xfId="0" applyNumberFormat="1" applyFont="1" applyFill="1" applyBorder="1" applyAlignment="1" applyProtection="1">
      <alignment horizontal="center"/>
      <protection locked="0"/>
    </xf>
    <xf numFmtId="181" fontId="35" fillId="0" borderId="40" xfId="0" applyNumberFormat="1" applyFont="1" applyBorder="1" applyAlignment="1" applyProtection="1">
      <alignment horizontal="center"/>
    </xf>
    <xf numFmtId="181" fontId="35" fillId="0" borderId="41" xfId="0" applyNumberFormat="1" applyFont="1" applyBorder="1" applyAlignment="1" applyProtection="1">
      <alignment horizontal="center"/>
    </xf>
    <xf numFmtId="0" fontId="87" fillId="0" borderId="0" xfId="0" applyFont="1" applyProtection="1"/>
    <xf numFmtId="181" fontId="73" fillId="0" borderId="0" xfId="0" applyNumberFormat="1" applyFont="1" applyProtection="1">
      <protection hidden="1"/>
    </xf>
    <xf numFmtId="0" fontId="74" fillId="0" borderId="44" xfId="0" applyFont="1" applyBorder="1" applyAlignment="1" applyProtection="1">
      <alignment horizontal="center"/>
      <protection locked="0"/>
    </xf>
    <xf numFmtId="0" fontId="66" fillId="0" borderId="0" xfId="0" applyFont="1" applyProtection="1"/>
    <xf numFmtId="0" fontId="54" fillId="12" borderId="121" xfId="0" applyFont="1" applyFill="1" applyBorder="1" applyProtection="1"/>
    <xf numFmtId="181" fontId="54" fillId="12" borderId="97" xfId="0" applyNumberFormat="1" applyFont="1" applyFill="1" applyBorder="1" applyProtection="1">
      <protection hidden="1"/>
    </xf>
    <xf numFmtId="0" fontId="66" fillId="0" borderId="0" xfId="0" applyFont="1" applyProtection="1"/>
    <xf numFmtId="0" fontId="35" fillId="0" borderId="0" xfId="0" applyFont="1" applyBorder="1" applyProtection="1"/>
    <xf numFmtId="0" fontId="47" fillId="0" borderId="0" xfId="0" applyFont="1" applyBorder="1" applyProtection="1"/>
    <xf numFmtId="0" fontId="106" fillId="0" borderId="0" xfId="0" applyFont="1" applyProtection="1"/>
    <xf numFmtId="181" fontId="0" fillId="0" borderId="0" xfId="0" applyNumberFormat="1" applyProtection="1"/>
    <xf numFmtId="0" fontId="117" fillId="36" borderId="68" xfId="0" applyFont="1" applyFill="1" applyBorder="1" applyAlignment="1" applyProtection="1">
      <alignment horizontal="left" vertical="center"/>
      <protection hidden="1"/>
    </xf>
    <xf numFmtId="0" fontId="66" fillId="36" borderId="44" xfId="0" applyFont="1" applyFill="1" applyBorder="1" applyProtection="1">
      <protection hidden="1"/>
    </xf>
    <xf numFmtId="1" fontId="76" fillId="16" borderId="5" xfId="0" applyNumberFormat="1" applyFont="1" applyFill="1" applyBorder="1" applyAlignment="1" applyProtection="1">
      <alignment horizontal="center"/>
      <protection hidden="1"/>
    </xf>
    <xf numFmtId="181" fontId="68" fillId="0" borderId="5" xfId="0" applyNumberFormat="1" applyFont="1" applyBorder="1" applyProtection="1">
      <protection hidden="1"/>
    </xf>
    <xf numFmtId="181" fontId="68" fillId="0" borderId="26" xfId="0" applyNumberFormat="1" applyFont="1" applyBorder="1" applyProtection="1">
      <protection hidden="1"/>
    </xf>
    <xf numFmtId="181" fontId="66" fillId="25" borderId="74" xfId="0" applyNumberFormat="1" applyFont="1" applyFill="1" applyBorder="1" applyProtection="1">
      <protection hidden="1"/>
    </xf>
    <xf numFmtId="4" fontId="66" fillId="0" borderId="0" xfId="0" applyNumberFormat="1" applyFont="1" applyBorder="1" applyProtection="1">
      <protection hidden="1"/>
    </xf>
    <xf numFmtId="0" fontId="35" fillId="16" borderId="8" xfId="0" applyFont="1" applyFill="1" applyBorder="1" applyProtection="1">
      <protection hidden="1"/>
    </xf>
    <xf numFmtId="181" fontId="35" fillId="0" borderId="5" xfId="8" applyNumberFormat="1" applyFont="1" applyBorder="1" applyAlignment="1" applyProtection="1">
      <protection hidden="1"/>
    </xf>
    <xf numFmtId="181" fontId="35" fillId="0" borderId="113" xfId="8" applyNumberFormat="1" applyFont="1" applyBorder="1" applyAlignment="1" applyProtection="1">
      <protection hidden="1"/>
    </xf>
    <xf numFmtId="49" fontId="76" fillId="25" borderId="51" xfId="0" applyNumberFormat="1" applyFont="1" applyFill="1" applyBorder="1" applyProtection="1">
      <protection hidden="1"/>
    </xf>
    <xf numFmtId="0" fontId="66" fillId="0" borderId="18" xfId="0" applyFont="1" applyBorder="1" applyProtection="1">
      <protection hidden="1"/>
    </xf>
    <xf numFmtId="0" fontId="54" fillId="41" borderId="32" xfId="0" applyFont="1" applyFill="1" applyBorder="1" applyProtection="1">
      <protection hidden="1"/>
    </xf>
    <xf numFmtId="189" fontId="54" fillId="41" borderId="40" xfId="0" applyNumberFormat="1" applyFont="1" applyFill="1" applyBorder="1" applyProtection="1">
      <protection hidden="1"/>
    </xf>
    <xf numFmtId="189" fontId="54" fillId="41" borderId="41" xfId="0" applyNumberFormat="1" applyFont="1" applyFill="1" applyBorder="1" applyProtection="1">
      <protection hidden="1"/>
    </xf>
    <xf numFmtId="0" fontId="124" fillId="16" borderId="131" xfId="0" applyFont="1" applyFill="1" applyBorder="1"/>
    <xf numFmtId="189" fontId="124" fillId="16" borderId="132" xfId="0" applyNumberFormat="1" applyFont="1" applyFill="1" applyBorder="1"/>
    <xf numFmtId="189" fontId="124" fillId="16" borderId="133" xfId="0" applyNumberFormat="1" applyFont="1" applyFill="1" applyBorder="1"/>
    <xf numFmtId="0" fontId="54" fillId="42" borderId="123" xfId="0" applyFont="1" applyFill="1" applyBorder="1"/>
    <xf numFmtId="181" fontId="54" fillId="42" borderId="96" xfId="0" applyNumberFormat="1" applyFont="1" applyFill="1" applyBorder="1"/>
    <xf numFmtId="181" fontId="54" fillId="42" borderId="124" xfId="0" applyNumberFormat="1" applyFont="1" applyFill="1" applyBorder="1"/>
    <xf numFmtId="181" fontId="71" fillId="36" borderId="48" xfId="0" applyNumberFormat="1" applyFont="1" applyFill="1" applyBorder="1"/>
    <xf numFmtId="181" fontId="68" fillId="36" borderId="44" xfId="0" applyNumberFormat="1" applyFont="1" applyFill="1" applyBorder="1"/>
    <xf numFmtId="181" fontId="68" fillId="36" borderId="45" xfId="0" applyNumberFormat="1" applyFont="1" applyFill="1" applyBorder="1"/>
    <xf numFmtId="0" fontId="66" fillId="0" borderId="0" xfId="0" applyFont="1" applyBorder="1"/>
    <xf numFmtId="0" fontId="71" fillId="36" borderId="68" xfId="0" applyFont="1" applyFill="1" applyBorder="1"/>
    <xf numFmtId="0" fontId="68" fillId="36" borderId="43" xfId="0" applyFont="1" applyFill="1" applyBorder="1"/>
    <xf numFmtId="0" fontId="68" fillId="36" borderId="59" xfId="0" applyFont="1" applyFill="1" applyBorder="1"/>
    <xf numFmtId="0" fontId="66" fillId="0" borderId="18" xfId="0" applyFont="1" applyBorder="1"/>
    <xf numFmtId="0" fontId="76" fillId="16" borderId="5" xfId="0" applyFont="1" applyFill="1" applyBorder="1"/>
    <xf numFmtId="0" fontId="66" fillId="16" borderId="5" xfId="0" applyFont="1" applyFill="1" applyBorder="1"/>
    <xf numFmtId="0" fontId="66" fillId="16" borderId="26" xfId="0" applyFont="1" applyFill="1" applyBorder="1"/>
    <xf numFmtId="181" fontId="35" fillId="16" borderId="5" xfId="0" applyNumberFormat="1" applyFont="1" applyFill="1" applyBorder="1"/>
    <xf numFmtId="181" fontId="35" fillId="16" borderId="74" xfId="0" applyNumberFormat="1" applyFont="1" applyFill="1" applyBorder="1"/>
    <xf numFmtId="181" fontId="89" fillId="0" borderId="20" xfId="0" applyNumberFormat="1" applyFont="1" applyBorder="1"/>
    <xf numFmtId="181" fontId="89" fillId="0" borderId="61" xfId="0" applyNumberFormat="1" applyFont="1" applyBorder="1"/>
    <xf numFmtId="181" fontId="89" fillId="0" borderId="0" xfId="0" applyNumberFormat="1" applyFont="1" applyBorder="1"/>
    <xf numFmtId="181" fontId="89" fillId="0" borderId="56" xfId="0" applyNumberFormat="1" applyFont="1" applyBorder="1"/>
    <xf numFmtId="181" fontId="35" fillId="0" borderId="28" xfId="0" applyNumberFormat="1" applyFont="1" applyBorder="1"/>
    <xf numFmtId="0" fontId="47" fillId="41" borderId="21" xfId="0" applyFont="1" applyFill="1" applyBorder="1"/>
    <xf numFmtId="181" fontId="47" fillId="41" borderId="27" xfId="0" applyNumberFormat="1" applyFont="1" applyFill="1" applyBorder="1"/>
    <xf numFmtId="181" fontId="47" fillId="41" borderId="28" xfId="0" applyNumberFormat="1" applyFont="1" applyFill="1" applyBorder="1"/>
    <xf numFmtId="181" fontId="35" fillId="16" borderId="11" xfId="0" applyNumberFormat="1" applyFont="1" applyFill="1" applyBorder="1"/>
    <xf numFmtId="181" fontId="35" fillId="0" borderId="56" xfId="0" applyNumberFormat="1" applyFont="1" applyBorder="1"/>
    <xf numFmtId="0" fontId="47" fillId="41" borderId="53" xfId="0" applyFont="1" applyFill="1" applyBorder="1"/>
    <xf numFmtId="181" fontId="47" fillId="41" borderId="40" xfId="0" applyNumberFormat="1" applyFont="1" applyFill="1" applyBorder="1"/>
    <xf numFmtId="181" fontId="47" fillId="41" borderId="41" xfId="0" applyNumberFormat="1" applyFont="1" applyFill="1" applyBorder="1"/>
    <xf numFmtId="0" fontId="82" fillId="0" borderId="0" xfId="0" applyFont="1" applyProtection="1">
      <protection hidden="1"/>
    </xf>
    <xf numFmtId="0" fontId="151" fillId="36" borderId="0" xfId="0" applyFont="1" applyFill="1"/>
    <xf numFmtId="0" fontId="152" fillId="36" borderId="0" xfId="0" applyFont="1" applyFill="1"/>
    <xf numFmtId="0" fontId="94" fillId="36" borderId="0" xfId="0" applyFont="1" applyFill="1"/>
    <xf numFmtId="0" fontId="132" fillId="0" borderId="0" xfId="0" applyFont="1"/>
    <xf numFmtId="0" fontId="89" fillId="0" borderId="0" xfId="0" applyFont="1"/>
    <xf numFmtId="0" fontId="86" fillId="0" borderId="0" xfId="0" applyFont="1"/>
    <xf numFmtId="167" fontId="89" fillId="0" borderId="0" xfId="0" applyNumberFormat="1" applyFont="1"/>
    <xf numFmtId="181" fontId="151" fillId="36" borderId="5" xfId="0" applyNumberFormat="1" applyFont="1" applyFill="1" applyBorder="1"/>
    <xf numFmtId="0" fontId="94" fillId="36" borderId="5" xfId="0" applyFont="1" applyFill="1" applyBorder="1"/>
    <xf numFmtId="181" fontId="94" fillId="36" borderId="5" xfId="0" applyNumberFormat="1" applyFont="1" applyFill="1" applyBorder="1"/>
    <xf numFmtId="0" fontId="86" fillId="0" borderId="5" xfId="0" applyFont="1" applyBorder="1"/>
    <xf numFmtId="0" fontId="91" fillId="16" borderId="5" xfId="0" applyFont="1" applyFill="1" applyBorder="1"/>
    <xf numFmtId="0" fontId="86" fillId="16" borderId="5" xfId="0" applyFont="1" applyFill="1" applyBorder="1"/>
    <xf numFmtId="181" fontId="86" fillId="16" borderId="5" xfId="0" applyNumberFormat="1" applyFont="1" applyFill="1" applyBorder="1"/>
    <xf numFmtId="181" fontId="86" fillId="0" borderId="5" xfId="0" applyNumberFormat="1" applyFont="1" applyBorder="1"/>
    <xf numFmtId="0" fontId="86" fillId="0" borderId="74" xfId="0" applyFont="1" applyBorder="1"/>
    <xf numFmtId="181" fontId="86" fillId="16" borderId="74" xfId="0" applyNumberFormat="1" applyFont="1" applyFill="1" applyBorder="1"/>
    <xf numFmtId="181" fontId="86" fillId="0" borderId="74" xfId="0" applyNumberFormat="1" applyFont="1" applyBorder="1"/>
    <xf numFmtId="0" fontId="91" fillId="5" borderId="5" xfId="0" applyFont="1" applyFill="1" applyBorder="1"/>
    <xf numFmtId="181" fontId="91" fillId="5" borderId="11" xfId="0" applyNumberFormat="1" applyFont="1" applyFill="1" applyBorder="1"/>
    <xf numFmtId="181" fontId="151" fillId="36" borderId="30" xfId="0" applyNumberFormat="1" applyFont="1" applyFill="1" applyBorder="1"/>
    <xf numFmtId="0" fontId="94" fillId="36" borderId="12" xfId="0" applyFont="1" applyFill="1" applyBorder="1"/>
    <xf numFmtId="181" fontId="94" fillId="36" borderId="12" xfId="0" applyNumberFormat="1" applyFont="1" applyFill="1" applyBorder="1"/>
    <xf numFmtId="181" fontId="94" fillId="36" borderId="15" xfId="0" applyNumberFormat="1" applyFont="1" applyFill="1" applyBorder="1"/>
    <xf numFmtId="0" fontId="86" fillId="0" borderId="5" xfId="0" applyFont="1" applyBorder="1"/>
    <xf numFmtId="0" fontId="86" fillId="0" borderId="74" xfId="0" applyFont="1" applyBorder="1"/>
    <xf numFmtId="0" fontId="151" fillId="36" borderId="30" xfId="0" applyFont="1" applyFill="1" applyBorder="1"/>
    <xf numFmtId="0" fontId="94" fillId="36" borderId="15" xfId="0" applyFont="1" applyFill="1" applyBorder="1"/>
    <xf numFmtId="0" fontId="91" fillId="41" borderId="5" xfId="0" applyFont="1" applyFill="1" applyBorder="1"/>
    <xf numFmtId="181" fontId="91" fillId="41" borderId="11" xfId="0" applyNumberFormat="1" applyFont="1" applyFill="1" applyBorder="1"/>
    <xf numFmtId="0" fontId="86" fillId="0" borderId="0" xfId="0" applyFont="1" applyBorder="1"/>
    <xf numFmtId="0" fontId="91" fillId="0" borderId="0" xfId="0" applyFont="1" applyBorder="1"/>
    <xf numFmtId="0" fontId="153" fillId="0" borderId="0" xfId="0" applyFont="1"/>
    <xf numFmtId="0" fontId="154" fillId="2" borderId="0" xfId="0" applyFont="1" applyFill="1"/>
    <xf numFmtId="0" fontId="10" fillId="0" borderId="0" xfId="0" applyFont="1"/>
    <xf numFmtId="167" fontId="106" fillId="0" borderId="0" xfId="0" applyNumberFormat="1" applyFont="1"/>
    <xf numFmtId="181" fontId="106" fillId="0" borderId="0" xfId="0" applyNumberFormat="1" applyFont="1"/>
    <xf numFmtId="167" fontId="10" fillId="0" borderId="0" xfId="0" applyNumberFormat="1" applyFont="1"/>
    <xf numFmtId="181" fontId="10" fillId="0" borderId="0" xfId="0" applyNumberFormat="1" applyFont="1"/>
    <xf numFmtId="14" fontId="10" fillId="0" borderId="0" xfId="0" applyNumberFormat="1" applyFont="1"/>
    <xf numFmtId="167" fontId="153" fillId="0" borderId="0" xfId="0" applyNumberFormat="1" applyFont="1"/>
    <xf numFmtId="181" fontId="153" fillId="0" borderId="0" xfId="0" applyNumberFormat="1" applyFont="1"/>
    <xf numFmtId="167" fontId="154" fillId="2" borderId="0" xfId="0" applyNumberFormat="1" applyFont="1" applyFill="1"/>
    <xf numFmtId="181" fontId="153" fillId="2" borderId="0" xfId="0" applyNumberFormat="1" applyFont="1" applyFill="1"/>
    <xf numFmtId="167" fontId="12" fillId="0" borderId="0" xfId="3" applyNumberFormat="1" applyFont="1" applyBorder="1" applyAlignment="1" applyProtection="1"/>
    <xf numFmtId="167" fontId="155" fillId="0" borderId="0" xfId="0" applyNumberFormat="1" applyFont="1"/>
    <xf numFmtId="181" fontId="154" fillId="2" borderId="0" xfId="0" applyNumberFormat="1" applyFont="1" applyFill="1"/>
    <xf numFmtId="0" fontId="153" fillId="2" borderId="0" xfId="0" applyFont="1" applyFill="1"/>
    <xf numFmtId="181" fontId="155" fillId="0" borderId="0" xfId="0" applyNumberFormat="1" applyFont="1" applyAlignment="1">
      <alignment horizontal="center"/>
    </xf>
    <xf numFmtId="49" fontId="10" fillId="0" borderId="0" xfId="0" applyNumberFormat="1" applyFont="1" applyAlignment="1">
      <alignment horizontal="center"/>
    </xf>
    <xf numFmtId="14" fontId="106" fillId="0" borderId="0" xfId="0" applyNumberFormat="1" applyFont="1"/>
    <xf numFmtId="14" fontId="153" fillId="0" borderId="0" xfId="0" applyNumberFormat="1" applyFont="1"/>
    <xf numFmtId="0" fontId="66" fillId="36" borderId="68" xfId="0" applyFont="1" applyFill="1" applyBorder="1"/>
    <xf numFmtId="0" fontId="71" fillId="36" borderId="43" xfId="0" applyFont="1" applyFill="1" applyBorder="1"/>
    <xf numFmtId="0" fontId="66" fillId="36" borderId="43" xfId="0" applyFont="1" applyFill="1" applyBorder="1"/>
    <xf numFmtId="0" fontId="66" fillId="36" borderId="59" xfId="0" applyFont="1" applyFill="1" applyBorder="1"/>
    <xf numFmtId="49" fontId="35" fillId="0" borderId="0" xfId="0" applyNumberFormat="1" applyFont="1" applyBorder="1" applyAlignment="1" applyProtection="1">
      <alignment horizontal="center"/>
      <protection locked="0"/>
    </xf>
    <xf numFmtId="49" fontId="35" fillId="0" borderId="5" xfId="0" applyNumberFormat="1" applyFont="1" applyBorder="1" applyAlignment="1" applyProtection="1">
      <alignment horizontal="center"/>
      <protection locked="0"/>
    </xf>
    <xf numFmtId="49" fontId="35" fillId="0" borderId="26" xfId="0" applyNumberFormat="1" applyFont="1" applyBorder="1" applyAlignment="1" applyProtection="1">
      <alignment horizontal="center"/>
      <protection locked="0"/>
    </xf>
    <xf numFmtId="0" fontId="47" fillId="30" borderId="37" xfId="0" applyFont="1" applyFill="1" applyBorder="1"/>
    <xf numFmtId="181" fontId="35" fillId="6" borderId="5" xfId="0" applyNumberFormat="1" applyFont="1" applyFill="1" applyBorder="1" applyAlignment="1" applyProtection="1">
      <alignment horizontal="center"/>
      <protection locked="0" hidden="1"/>
    </xf>
    <xf numFmtId="3" fontId="35" fillId="0" borderId="10" xfId="0" applyNumberFormat="1" applyFont="1" applyBorder="1" applyAlignment="1" applyProtection="1">
      <alignment horizontal="center"/>
    </xf>
    <xf numFmtId="0" fontId="35" fillId="0" borderId="10" xfId="0" applyFont="1" applyBorder="1" applyAlignment="1" applyProtection="1">
      <alignment horizontal="center"/>
    </xf>
    <xf numFmtId="181" fontId="74" fillId="0" borderId="10" xfId="0" applyNumberFormat="1" applyFont="1" applyBorder="1" applyProtection="1"/>
    <xf numFmtId="181" fontId="74" fillId="0" borderId="32" xfId="0" applyNumberFormat="1" applyFont="1" applyBorder="1"/>
    <xf numFmtId="181" fontId="156" fillId="0" borderId="5" xfId="3" applyNumberFormat="1" applyFont="1" applyBorder="1" applyAlignment="1" applyProtection="1">
      <alignment horizontal="center" vertical="center"/>
    </xf>
    <xf numFmtId="182" fontId="35" fillId="6" borderId="27" xfId="0" applyNumberFormat="1" applyFont="1" applyFill="1" applyBorder="1" applyAlignment="1" applyProtection="1">
      <alignment horizontal="center"/>
      <protection locked="0"/>
    </xf>
    <xf numFmtId="0" fontId="35" fillId="5" borderId="23" xfId="0" applyFont="1" applyFill="1" applyBorder="1"/>
    <xf numFmtId="0" fontId="35" fillId="6" borderId="60" xfId="0" applyFont="1" applyFill="1" applyBorder="1" applyProtection="1">
      <protection locked="0"/>
    </xf>
    <xf numFmtId="181" fontId="35" fillId="6" borderId="20" xfId="0" applyNumberFormat="1" applyFont="1" applyFill="1" applyBorder="1" applyProtection="1">
      <protection locked="0"/>
    </xf>
    <xf numFmtId="0" fontId="35" fillId="40" borderId="5" xfId="0" applyFont="1" applyFill="1" applyBorder="1"/>
    <xf numFmtId="0" fontId="66" fillId="40" borderId="5" xfId="0" applyFont="1" applyFill="1" applyBorder="1"/>
    <xf numFmtId="181" fontId="35" fillId="40" borderId="5" xfId="0" applyNumberFormat="1" applyFont="1" applyFill="1" applyBorder="1" applyAlignment="1" applyProtection="1">
      <alignment horizontal="center"/>
    </xf>
    <xf numFmtId="0" fontId="35" fillId="6" borderId="5" xfId="0" applyFont="1" applyFill="1" applyBorder="1" applyProtection="1">
      <protection locked="0"/>
    </xf>
    <xf numFmtId="181" fontId="47" fillId="0" borderId="5" xfId="0" applyNumberFormat="1" applyFont="1" applyBorder="1" applyAlignment="1" applyProtection="1">
      <alignment horizontal="right"/>
    </xf>
    <xf numFmtId="181" fontId="87" fillId="0" borderId="0" xfId="0" applyNumberFormat="1" applyFont="1" applyProtection="1">
      <protection hidden="1"/>
    </xf>
    <xf numFmtId="181" fontId="54" fillId="12" borderId="97" xfId="0" applyNumberFormat="1" applyFont="1" applyFill="1" applyBorder="1" applyAlignment="1" applyProtection="1">
      <alignment horizontal="right"/>
      <protection hidden="1"/>
    </xf>
    <xf numFmtId="0" fontId="87" fillId="0" borderId="0" xfId="0" applyFont="1" applyBorder="1" applyProtection="1"/>
    <xf numFmtId="181" fontId="158" fillId="0" borderId="0" xfId="0" applyNumberFormat="1" applyFont="1" applyProtection="1"/>
    <xf numFmtId="181" fontId="100" fillId="0" borderId="0" xfId="0" applyNumberFormat="1" applyFont="1" applyProtection="1">
      <protection hidden="1"/>
    </xf>
    <xf numFmtId="0" fontId="158" fillId="0" borderId="0" xfId="0" applyFont="1" applyProtection="1"/>
    <xf numFmtId="0" fontId="0" fillId="0" borderId="0" xfId="0" applyAlignment="1">
      <alignment horizontal="center"/>
    </xf>
    <xf numFmtId="0" fontId="0" fillId="0" borderId="81" xfId="0" applyBorder="1"/>
    <xf numFmtId="0" fontId="0" fillId="0" borderId="14" xfId="0" applyBorder="1"/>
    <xf numFmtId="0" fontId="35" fillId="0" borderId="9" xfId="0" applyFont="1" applyBorder="1"/>
    <xf numFmtId="0" fontId="121" fillId="37" borderId="18" xfId="0" applyFont="1" applyFill="1" applyBorder="1" applyProtection="1">
      <protection hidden="1"/>
    </xf>
    <xf numFmtId="4" fontId="159" fillId="0" borderId="5" xfId="0" applyNumberFormat="1" applyFont="1" applyBorder="1" applyAlignment="1" applyProtection="1">
      <alignment horizontal="center"/>
      <protection hidden="1"/>
    </xf>
    <xf numFmtId="0" fontId="121" fillId="37" borderId="53" xfId="0" applyFont="1" applyFill="1" applyBorder="1" applyProtection="1">
      <protection hidden="1"/>
    </xf>
    <xf numFmtId="181" fontId="160" fillId="0" borderId="5" xfId="0" applyNumberFormat="1" applyFont="1" applyBorder="1" applyAlignment="1" applyProtection="1">
      <alignment horizontal="center"/>
      <protection hidden="1"/>
    </xf>
    <xf numFmtId="181" fontId="75" fillId="0" borderId="33" xfId="0" applyNumberFormat="1" applyFont="1" applyBorder="1" applyAlignment="1" applyProtection="1">
      <alignment horizontal="center"/>
      <protection hidden="1"/>
    </xf>
    <xf numFmtId="0" fontId="0" fillId="6" borderId="5" xfId="0" applyFont="1" applyFill="1" applyBorder="1" applyAlignment="1" applyProtection="1">
      <alignment horizontal="center"/>
      <protection locked="0"/>
    </xf>
    <xf numFmtId="0" fontId="0" fillId="0" borderId="5" xfId="0" applyBorder="1" applyAlignment="1">
      <alignment horizontal="center"/>
    </xf>
    <xf numFmtId="9" fontId="0" fillId="6" borderId="5" xfId="0" applyNumberFormat="1" applyFont="1" applyFill="1" applyBorder="1" applyAlignment="1" applyProtection="1">
      <alignment horizontal="center"/>
      <protection locked="0"/>
    </xf>
    <xf numFmtId="0" fontId="0" fillId="0" borderId="5" xfId="0" applyBorder="1"/>
    <xf numFmtId="0" fontId="0" fillId="0" borderId="5" xfId="0" applyBorder="1" applyAlignment="1">
      <alignment wrapText="1"/>
    </xf>
    <xf numFmtId="0" fontId="0" fillId="0" borderId="5" xfId="0" applyBorder="1" applyAlignment="1">
      <alignment horizontal="center" vertical="center"/>
    </xf>
    <xf numFmtId="0" fontId="0" fillId="0" borderId="5" xfId="0" applyBorder="1" applyAlignment="1">
      <alignment horizontal="center" wrapText="1"/>
    </xf>
    <xf numFmtId="0" fontId="13" fillId="0" borderId="0" xfId="3" applyBorder="1" applyProtection="1"/>
    <xf numFmtId="0" fontId="7" fillId="0" borderId="0" xfId="0" applyFont="1" applyBorder="1" applyAlignment="1">
      <alignment horizontal="left" vertical="center" wrapText="1"/>
    </xf>
    <xf numFmtId="0" fontId="12" fillId="0" borderId="0" xfId="3" applyFont="1" applyBorder="1" applyAlignment="1" applyProtection="1">
      <alignment horizontal="center"/>
    </xf>
    <xf numFmtId="0" fontId="5" fillId="2" borderId="0" xfId="0" applyFont="1" applyFill="1" applyBorder="1" applyAlignment="1">
      <alignment horizontal="center" vertical="center"/>
    </xf>
    <xf numFmtId="0" fontId="10" fillId="0" borderId="0" xfId="0" applyFont="1" applyBorder="1" applyAlignment="1">
      <alignment horizontal="left" vertical="center" wrapText="1"/>
    </xf>
    <xf numFmtId="0" fontId="47" fillId="12" borderId="10" xfId="0" applyFont="1" applyFill="1" applyBorder="1" applyAlignment="1" applyProtection="1">
      <alignment horizontal="left" vertical="center" wrapText="1"/>
    </xf>
    <xf numFmtId="181" fontId="54" fillId="12" borderId="16" xfId="0" applyNumberFormat="1" applyFont="1" applyFill="1" applyBorder="1" applyAlignment="1" applyProtection="1">
      <alignment horizontal="right" vertical="center"/>
      <protection hidden="1"/>
    </xf>
    <xf numFmtId="181" fontId="42" fillId="12" borderId="5" xfId="3" applyNumberFormat="1" applyFont="1" applyFill="1" applyBorder="1" applyAlignment="1" applyProtection="1">
      <alignment horizontal="center" vertical="center" wrapText="1"/>
    </xf>
    <xf numFmtId="0" fontId="60" fillId="13" borderId="0" xfId="0" applyFont="1" applyFill="1" applyAlignment="1">
      <alignment horizontal="center" vertical="center"/>
    </xf>
    <xf numFmtId="181" fontId="56" fillId="10" borderId="16" xfId="0" applyNumberFormat="1" applyFont="1" applyFill="1" applyBorder="1" applyAlignment="1" applyProtection="1">
      <alignment horizontal="right" vertical="center"/>
      <protection hidden="1"/>
    </xf>
    <xf numFmtId="181" fontId="42" fillId="10" borderId="5" xfId="3" applyNumberFormat="1"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protection hidden="1"/>
    </xf>
    <xf numFmtId="0" fontId="47" fillId="11" borderId="10" xfId="0" applyFont="1" applyFill="1" applyBorder="1" applyAlignment="1" applyProtection="1">
      <alignment horizontal="left" vertical="center" wrapText="1"/>
    </xf>
    <xf numFmtId="181" fontId="54" fillId="11" borderId="16" xfId="0" applyNumberFormat="1" applyFont="1" applyFill="1" applyBorder="1" applyAlignment="1" applyProtection="1">
      <alignment horizontal="right" vertical="center"/>
      <protection hidden="1"/>
    </xf>
    <xf numFmtId="181" fontId="42" fillId="11" borderId="5" xfId="3" applyNumberFormat="1" applyFont="1" applyFill="1" applyBorder="1" applyAlignment="1" applyProtection="1">
      <alignment horizontal="center" vertical="center" wrapText="1"/>
    </xf>
    <xf numFmtId="0" fontId="19" fillId="0" borderId="0" xfId="0" applyFont="1" applyAlignment="1">
      <alignment horizontal="center" vertical="center" wrapText="1"/>
    </xf>
    <xf numFmtId="166" fontId="49" fillId="0" borderId="5" xfId="0" applyNumberFormat="1" applyFont="1" applyBorder="1" applyAlignment="1">
      <alignment horizontal="center" vertical="center"/>
    </xf>
    <xf numFmtId="0" fontId="25" fillId="0" borderId="0" xfId="0" applyFont="1" applyBorder="1" applyAlignment="1">
      <alignment horizontal="center" vertical="center" wrapText="1"/>
    </xf>
    <xf numFmtId="0" fontId="47" fillId="9" borderId="10" xfId="0" applyFont="1" applyFill="1" applyBorder="1" applyAlignment="1" applyProtection="1">
      <alignment horizontal="left" vertical="center" wrapText="1"/>
    </xf>
    <xf numFmtId="181" fontId="54" fillId="9" borderId="16" xfId="0" applyNumberFormat="1" applyFont="1" applyFill="1" applyBorder="1" applyAlignment="1" applyProtection="1">
      <alignment horizontal="right" vertical="center"/>
      <protection hidden="1"/>
    </xf>
    <xf numFmtId="181" fontId="42" fillId="9" borderId="10" xfId="3" applyNumberFormat="1" applyFont="1" applyFill="1" applyBorder="1" applyAlignment="1" applyProtection="1">
      <alignment horizontal="center" vertical="center" wrapText="1"/>
    </xf>
    <xf numFmtId="0" fontId="7" fillId="0" borderId="3" xfId="0" applyFont="1" applyBorder="1" applyAlignment="1">
      <alignment horizontal="center" vertical="center" wrapText="1"/>
    </xf>
    <xf numFmtId="0" fontId="0" fillId="0" borderId="5" xfId="0" applyFont="1" applyBorder="1" applyAlignment="1">
      <alignment horizontal="left" vertical="center"/>
    </xf>
    <xf numFmtId="0" fontId="25" fillId="0" borderId="10" xfId="0" applyFont="1" applyBorder="1" applyAlignment="1">
      <alignment horizontal="right"/>
    </xf>
    <xf numFmtId="0" fontId="39" fillId="0" borderId="19" xfId="0" applyFont="1" applyBorder="1" applyAlignment="1">
      <alignment horizontal="center" vertical="center"/>
    </xf>
    <xf numFmtId="0" fontId="0" fillId="6" borderId="5" xfId="0" applyFont="1" applyFill="1" applyBorder="1" applyAlignment="1" applyProtection="1">
      <alignment horizontal="center"/>
      <protection locked="0"/>
    </xf>
    <xf numFmtId="168" fontId="7" fillId="0" borderId="5" xfId="0" applyNumberFormat="1" applyFont="1" applyBorder="1" applyAlignment="1">
      <alignment horizontal="center"/>
    </xf>
    <xf numFmtId="0" fontId="0" fillId="4" borderId="5" xfId="0" applyFont="1" applyFill="1" applyBorder="1" applyAlignment="1">
      <alignment horizontal="left" wrapText="1"/>
    </xf>
    <xf numFmtId="170" fontId="0" fillId="6" borderId="5" xfId="0" applyNumberFormat="1" applyFont="1" applyFill="1" applyBorder="1" applyAlignment="1" applyProtection="1">
      <alignment horizontal="center" vertical="center"/>
      <protection locked="0"/>
    </xf>
    <xf numFmtId="0" fontId="0" fillId="0" borderId="5" xfId="0" applyFont="1" applyBorder="1" applyAlignment="1">
      <alignment horizontal="center" vertical="center"/>
    </xf>
    <xf numFmtId="0" fontId="28" fillId="0" borderId="16" xfId="0" applyFont="1" applyBorder="1" applyAlignment="1">
      <alignment horizontal="right" wrapText="1"/>
    </xf>
    <xf numFmtId="0" fontId="28" fillId="0" borderId="4" xfId="0" applyFont="1" applyBorder="1" applyAlignment="1">
      <alignment horizontal="right" wrapText="1"/>
    </xf>
    <xf numFmtId="0" fontId="28" fillId="0" borderId="15" xfId="0" applyFont="1" applyBorder="1" applyAlignment="1">
      <alignment horizontal="center" wrapText="1"/>
    </xf>
    <xf numFmtId="0" fontId="0" fillId="0" borderId="3" xfId="0" applyFont="1" applyBorder="1" applyAlignment="1">
      <alignment horizontal="center" vertical="center"/>
    </xf>
    <xf numFmtId="0" fontId="29" fillId="0" borderId="5" xfId="0" applyFont="1" applyBorder="1" applyAlignment="1">
      <alignment horizontal="left" vertical="center" wrapText="1"/>
    </xf>
    <xf numFmtId="0" fontId="31" fillId="0" borderId="5" xfId="0" applyFont="1" applyBorder="1" applyAlignment="1">
      <alignment horizontal="center" vertical="center"/>
    </xf>
    <xf numFmtId="169" fontId="31" fillId="0" borderId="5" xfId="0" applyNumberFormat="1" applyFont="1" applyBorder="1" applyAlignment="1">
      <alignment horizontal="center" vertical="center"/>
    </xf>
    <xf numFmtId="0" fontId="24" fillId="0" borderId="7" xfId="0" applyFont="1" applyBorder="1" applyAlignment="1">
      <alignment horizontal="left" wrapText="1"/>
    </xf>
    <xf numFmtId="0" fontId="25" fillId="6" borderId="5" xfId="0" applyFont="1" applyFill="1" applyBorder="1" applyAlignment="1">
      <alignment horizontal="center" vertical="center" wrapText="1"/>
    </xf>
    <xf numFmtId="0" fontId="0" fillId="0" borderId="5" xfId="0" applyBorder="1" applyAlignment="1">
      <alignment horizontal="center"/>
    </xf>
    <xf numFmtId="0" fontId="26" fillId="4" borderId="10" xfId="0" applyFont="1" applyFill="1" applyBorder="1" applyAlignment="1">
      <alignment horizontal="center" vertical="center" wrapText="1"/>
    </xf>
    <xf numFmtId="0" fontId="0" fillId="6" borderId="3" xfId="0" applyFill="1" applyBorder="1" applyAlignment="1" applyProtection="1">
      <alignment horizontal="center" vertical="center"/>
      <protection locked="0"/>
    </xf>
    <xf numFmtId="167" fontId="27" fillId="6" borderId="11" xfId="0" applyNumberFormat="1" applyFont="1" applyFill="1" applyBorder="1" applyAlignment="1" applyProtection="1">
      <alignment horizontal="center" vertical="center" wrapText="1"/>
      <protection locked="0"/>
    </xf>
    <xf numFmtId="0" fontId="14" fillId="3" borderId="1" xfId="0" applyFont="1" applyFill="1" applyBorder="1" applyAlignment="1">
      <alignment horizontal="left" wrapText="1"/>
    </xf>
    <xf numFmtId="0" fontId="18" fillId="0" borderId="2" xfId="0" applyFont="1" applyBorder="1" applyAlignment="1">
      <alignment horizontal="center" vertical="center"/>
    </xf>
    <xf numFmtId="0" fontId="19" fillId="4" borderId="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47" fillId="31" borderId="30" xfId="0" applyFont="1" applyFill="1" applyBorder="1" applyAlignment="1">
      <alignment horizontal="right" vertical="center" shrinkToFit="1"/>
    </xf>
    <xf numFmtId="181" fontId="112" fillId="0" borderId="39" xfId="0" applyNumberFormat="1" applyFont="1" applyBorder="1" applyAlignment="1" applyProtection="1">
      <alignment horizontal="center"/>
    </xf>
    <xf numFmtId="0" fontId="71" fillId="14" borderId="31" xfId="0" applyFont="1" applyFill="1" applyBorder="1" applyAlignment="1">
      <alignment horizontal="center" vertical="center"/>
    </xf>
    <xf numFmtId="0" fontId="113" fillId="30" borderId="36" xfId="0" applyFont="1" applyFill="1" applyBorder="1" applyAlignment="1">
      <alignment horizontal="center" vertical="center"/>
    </xf>
    <xf numFmtId="0" fontId="47" fillId="30" borderId="36" xfId="0" applyFont="1" applyFill="1" applyBorder="1" applyAlignment="1">
      <alignment horizontal="center" vertical="center"/>
    </xf>
    <xf numFmtId="181" fontId="35" fillId="6" borderId="5" xfId="0" applyNumberFormat="1" applyFont="1" applyFill="1" applyBorder="1" applyAlignment="1" applyProtection="1">
      <alignment horizontal="left" shrinkToFit="1"/>
      <protection locked="0"/>
    </xf>
    <xf numFmtId="0" fontId="35" fillId="6" borderId="5" xfId="0" applyFont="1" applyFill="1" applyBorder="1" applyAlignment="1" applyProtection="1">
      <alignment horizontal="left"/>
      <protection locked="0"/>
    </xf>
    <xf numFmtId="0" fontId="111" fillId="0" borderId="56" xfId="0" applyFont="1" applyBorder="1" applyAlignment="1">
      <alignment horizontal="center" shrinkToFit="1"/>
    </xf>
    <xf numFmtId="0" fontId="111" fillId="0" borderId="56" xfId="0" applyFont="1" applyBorder="1" applyAlignment="1" applyProtection="1">
      <alignment horizontal="center" shrinkToFit="1"/>
    </xf>
    <xf numFmtId="0" fontId="112" fillId="0" borderId="3" xfId="0" applyFont="1" applyBorder="1" applyAlignment="1" applyProtection="1">
      <alignment horizontal="center"/>
    </xf>
    <xf numFmtId="181" fontId="55" fillId="0" borderId="56" xfId="0" applyNumberFormat="1" applyFont="1" applyBorder="1" applyAlignment="1" applyProtection="1">
      <alignment horizontal="center" vertical="center" wrapText="1"/>
      <protection hidden="1"/>
    </xf>
    <xf numFmtId="0" fontId="47" fillId="11" borderId="49" xfId="0" applyFont="1" applyFill="1" applyBorder="1" applyAlignment="1" applyProtection="1">
      <alignment horizontal="left" vertical="center" wrapText="1"/>
    </xf>
    <xf numFmtId="181" fontId="103" fillId="11" borderId="5" xfId="3" applyNumberFormat="1" applyFont="1" applyFill="1" applyBorder="1" applyAlignment="1" applyProtection="1">
      <alignment horizontal="center" vertical="center" wrapText="1"/>
    </xf>
    <xf numFmtId="0" fontId="65" fillId="14" borderId="31" xfId="0" applyFont="1" applyFill="1" applyBorder="1" applyAlignment="1">
      <alignment horizontal="center" vertical="center"/>
    </xf>
    <xf numFmtId="0" fontId="54" fillId="12" borderId="49" xfId="0" applyFont="1" applyFill="1" applyBorder="1" applyAlignment="1" applyProtection="1">
      <alignment vertical="center"/>
    </xf>
    <xf numFmtId="181" fontId="101" fillId="12" borderId="5" xfId="3" applyNumberFormat="1" applyFont="1" applyFill="1" applyBorder="1" applyAlignment="1" applyProtection="1">
      <alignment horizontal="center" vertical="center" wrapText="1"/>
    </xf>
    <xf numFmtId="181" fontId="54" fillId="10" borderId="16" xfId="0" applyNumberFormat="1" applyFont="1" applyFill="1" applyBorder="1" applyAlignment="1" applyProtection="1">
      <alignment horizontal="right" vertical="center"/>
      <protection hidden="1"/>
    </xf>
    <xf numFmtId="181" fontId="103" fillId="10" borderId="5" xfId="3" applyNumberFormat="1" applyFont="1" applyFill="1" applyBorder="1" applyAlignment="1" applyProtection="1">
      <alignment horizontal="center" vertical="center" wrapText="1"/>
    </xf>
    <xf numFmtId="0" fontId="69" fillId="6" borderId="33" xfId="0" applyFont="1" applyFill="1" applyBorder="1" applyAlignment="1" applyProtection="1">
      <alignment horizontal="center"/>
      <protection locked="0"/>
    </xf>
    <xf numFmtId="0" fontId="71" fillId="14" borderId="35" xfId="0" applyFont="1" applyFill="1" applyBorder="1" applyAlignment="1">
      <alignment horizontal="center" vertical="center"/>
    </xf>
    <xf numFmtId="49" fontId="82" fillId="0" borderId="48" xfId="0" applyNumberFormat="1" applyFont="1" applyBorder="1" applyAlignment="1">
      <alignment horizontal="right"/>
    </xf>
    <xf numFmtId="181" fontId="65" fillId="35" borderId="35" xfId="0" applyNumberFormat="1" applyFont="1" applyFill="1" applyBorder="1" applyAlignment="1" applyProtection="1">
      <alignment horizontal="center" vertical="center"/>
      <protection hidden="1"/>
    </xf>
    <xf numFmtId="181" fontId="87" fillId="0" borderId="97" xfId="0" applyNumberFormat="1" applyFont="1" applyBorder="1" applyAlignment="1" applyProtection="1">
      <alignment horizontal="center" vertical="center"/>
      <protection hidden="1"/>
    </xf>
    <xf numFmtId="0" fontId="65" fillId="35" borderId="35" xfId="0" applyFont="1" applyFill="1" applyBorder="1" applyAlignment="1" applyProtection="1">
      <alignment horizontal="center" vertical="center"/>
      <protection hidden="1"/>
    </xf>
    <xf numFmtId="0" fontId="66" fillId="37" borderId="11" xfId="0" applyFont="1" applyFill="1" applyBorder="1" applyAlignment="1" applyProtection="1">
      <alignment horizontal="center"/>
      <protection hidden="1"/>
    </xf>
    <xf numFmtId="0" fontId="117" fillId="36" borderId="35" xfId="0" applyFont="1" applyFill="1" applyBorder="1" applyAlignment="1" applyProtection="1">
      <alignment horizontal="left" vertical="center"/>
      <protection hidden="1"/>
    </xf>
    <xf numFmtId="0" fontId="55" fillId="0" borderId="34" xfId="0" applyFont="1" applyBorder="1" applyAlignment="1" applyProtection="1">
      <alignment horizontal="center" vertical="center"/>
      <protection hidden="1"/>
    </xf>
    <xf numFmtId="0" fontId="47" fillId="0" borderId="34" xfId="0" applyFont="1" applyBorder="1" applyAlignment="1" applyProtection="1">
      <alignment horizontal="center" vertical="center"/>
      <protection hidden="1"/>
    </xf>
    <xf numFmtId="0" fontId="132" fillId="0" borderId="34" xfId="0" applyFont="1" applyBorder="1" applyAlignment="1" applyProtection="1">
      <alignment horizontal="center" vertical="center"/>
      <protection hidden="1"/>
    </xf>
    <xf numFmtId="0" fontId="69" fillId="0" borderId="33" xfId="0" applyFont="1" applyBorder="1" applyAlignment="1" applyProtection="1">
      <alignment horizontal="center"/>
      <protection hidden="1"/>
    </xf>
    <xf numFmtId="0" fontId="125" fillId="0" borderId="0" xfId="0" applyFont="1" applyBorder="1" applyAlignment="1" applyProtection="1">
      <alignment horizontal="center"/>
      <protection hidden="1"/>
    </xf>
    <xf numFmtId="181" fontId="87" fillId="0" borderId="59" xfId="0" applyNumberFormat="1" applyFont="1" applyBorder="1" applyAlignment="1" applyProtection="1">
      <alignment horizontal="center" vertical="center"/>
    </xf>
    <xf numFmtId="0" fontId="116" fillId="9" borderId="35" xfId="0" applyFont="1" applyFill="1" applyBorder="1" applyAlignment="1" applyProtection="1">
      <alignment horizontal="center" vertical="center"/>
      <protection hidden="1"/>
    </xf>
    <xf numFmtId="0" fontId="117" fillId="33" borderId="35" xfId="0" applyFont="1" applyFill="1" applyBorder="1" applyAlignment="1" applyProtection="1">
      <alignment horizontal="center" vertical="center"/>
      <protection hidden="1"/>
    </xf>
    <xf numFmtId="0" fontId="71" fillId="11" borderId="35" xfId="0" applyFont="1" applyFill="1" applyBorder="1" applyAlignment="1" applyProtection="1">
      <alignment horizontal="center" vertical="center"/>
      <protection hidden="1"/>
    </xf>
    <xf numFmtId="0" fontId="117" fillId="12" borderId="31" xfId="0" applyFont="1" applyFill="1" applyBorder="1" applyAlignment="1">
      <alignment horizontal="left" vertical="center"/>
    </xf>
    <xf numFmtId="0" fontId="69" fillId="0" borderId="63" xfId="0" applyFont="1" applyBorder="1" applyAlignment="1" applyProtection="1">
      <alignment horizontal="center"/>
      <protection hidden="1"/>
    </xf>
    <xf numFmtId="0" fontId="117" fillId="35" borderId="35" xfId="0" applyFont="1" applyFill="1" applyBorder="1" applyAlignment="1" applyProtection="1">
      <alignment horizontal="center" vertical="center"/>
      <protection hidden="1"/>
    </xf>
    <xf numFmtId="0" fontId="117" fillId="36" borderId="31" xfId="0" applyFont="1" applyFill="1" applyBorder="1" applyAlignment="1" applyProtection="1">
      <alignment horizontal="center" vertical="center"/>
      <protection hidden="1"/>
    </xf>
    <xf numFmtId="0" fontId="69" fillId="6" borderId="13" xfId="0" applyFont="1" applyFill="1" applyBorder="1" applyAlignment="1" applyProtection="1">
      <alignment horizontal="center"/>
      <protection locked="0"/>
    </xf>
    <xf numFmtId="0" fontId="54" fillId="0" borderId="126" xfId="0" applyFont="1" applyBorder="1" applyAlignment="1" applyProtection="1">
      <alignment horizontal="center" vertical="center" wrapText="1"/>
      <protection hidden="1"/>
    </xf>
    <xf numFmtId="0" fontId="117" fillId="36" borderId="31" xfId="0" applyFont="1" applyFill="1" applyBorder="1" applyAlignment="1">
      <alignment horizontal="left" vertical="center"/>
    </xf>
    <xf numFmtId="0" fontId="117" fillId="36" borderId="35" xfId="0" applyFont="1" applyFill="1" applyBorder="1" applyAlignment="1" applyProtection="1">
      <alignment horizontal="center" vertical="center"/>
      <protection hidden="1"/>
    </xf>
    <xf numFmtId="0" fontId="69" fillId="0" borderId="13" xfId="0" applyFont="1" applyBorder="1" applyAlignment="1" applyProtection="1">
      <alignment horizontal="center"/>
      <protection hidden="1"/>
    </xf>
    <xf numFmtId="167" fontId="155" fillId="0" borderId="0" xfId="0" applyNumberFormat="1" applyFont="1" applyBorder="1" applyAlignment="1">
      <alignment horizontal="center"/>
    </xf>
    <xf numFmtId="2" fontId="0" fillId="0" borderId="10" xfId="0" applyNumberFormat="1" applyBorder="1" applyAlignment="1">
      <alignment horizontal="center"/>
    </xf>
    <xf numFmtId="2" fontId="0" fillId="0" borderId="16" xfId="0" applyNumberFormat="1" applyBorder="1" applyAlignment="1">
      <alignment horizontal="center"/>
    </xf>
    <xf numFmtId="2" fontId="0" fillId="0" borderId="10" xfId="0" applyNumberFormat="1" applyBorder="1" applyAlignment="1">
      <alignment horizontal="center" vertical="center"/>
    </xf>
    <xf numFmtId="2" fontId="0" fillId="0" borderId="16" xfId="0" applyNumberFormat="1" applyBorder="1" applyAlignment="1">
      <alignment horizontal="center" vertical="center"/>
    </xf>
    <xf numFmtId="0" fontId="0" fillId="0" borderId="10" xfId="0" applyBorder="1" applyAlignment="1">
      <alignment horizontal="center"/>
    </xf>
    <xf numFmtId="0" fontId="0" fillId="0" borderId="16" xfId="0" applyBorder="1" applyAlignment="1">
      <alignment horizontal="center"/>
    </xf>
    <xf numFmtId="0" fontId="69" fillId="0" borderId="33" xfId="0" applyFont="1" applyBorder="1" applyAlignment="1" applyProtection="1">
      <alignment horizontal="center"/>
      <protection locked="0"/>
    </xf>
    <xf numFmtId="0" fontId="114" fillId="0" borderId="0" xfId="0" applyFont="1" applyBorder="1" applyAlignment="1" applyProtection="1">
      <alignment horizontal="center"/>
    </xf>
  </cellXfs>
  <cellStyles count="12">
    <cellStyle name="Ergebnis" xfId="4"/>
    <cellStyle name="Ergebnis 2" xfId="5"/>
    <cellStyle name="Euro" xfId="8"/>
    <cellStyle name="Excel Built-in Explanatory Text" xfId="11"/>
    <cellStyle name="Hyperlink" xfId="3" builtinId="8"/>
    <cellStyle name="Nullwert" xfId="10"/>
    <cellStyle name="Prozent" xfId="2" builtinId="5"/>
    <cellStyle name="Standard" xfId="0" builtinId="0"/>
    <cellStyle name="Überschrift" xfId="6"/>
    <cellStyle name="Überschrift 1" xfId="7"/>
    <cellStyle name="Unbenannt1" xfId="9"/>
    <cellStyle name="Währung" xfId="1" builtinId="4"/>
  </cellStyles>
  <dxfs count="339">
    <dxf>
      <font>
        <name val="Arial"/>
      </font>
      <fill>
        <patternFill>
          <bgColor rgb="FFFF99CC"/>
        </patternFill>
      </fill>
    </dxf>
    <dxf>
      <font>
        <name val="Arial"/>
      </font>
      <fill>
        <patternFill>
          <bgColor rgb="FFFF99CC"/>
        </patternFill>
      </fill>
    </dxf>
    <dxf>
      <font>
        <color rgb="FFFFFFFF"/>
        <name val="Arial"/>
      </font>
      <fill>
        <patternFill>
          <bgColor rgb="FFFF99CC"/>
        </patternFill>
      </fill>
    </dxf>
    <dxf>
      <font>
        <color rgb="FFFFFFFF"/>
        <name val="Arial"/>
      </font>
      <fill>
        <patternFill>
          <bgColor rgb="FFFF99CC"/>
        </patternFill>
      </fill>
    </dxf>
    <dxf>
      <font>
        <color rgb="FFFFFFFF"/>
        <name val="Arial"/>
      </font>
    </dxf>
    <dxf>
      <font>
        <color rgb="FFFFFFFF"/>
        <name val="Arial"/>
      </font>
    </dxf>
    <dxf>
      <font>
        <color rgb="FFFFFFFF"/>
        <name val="Arial"/>
      </font>
    </dxf>
    <dxf>
      <font>
        <color rgb="FFFFFFFF"/>
        <name val="Arial"/>
      </font>
    </dxf>
    <dxf>
      <font>
        <color rgb="FFFFFFFF"/>
        <name val="Arial"/>
      </font>
    </dxf>
    <dxf>
      <font>
        <color rgb="FFC0C0C0"/>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name val="Arial"/>
      </font>
      <fill>
        <patternFill>
          <bgColor rgb="FFCCFFCC"/>
        </patternFill>
      </fill>
    </dxf>
    <dxf>
      <font>
        <name val="Arial"/>
      </font>
      <fill>
        <patternFill>
          <bgColor rgb="FFCCFFCC"/>
        </patternFill>
      </fill>
    </dxf>
    <dxf>
      <font>
        <name val="Arial"/>
      </font>
      <fill>
        <patternFill>
          <bgColor rgb="FFCCFFCC"/>
        </patternFill>
      </fill>
    </dxf>
    <dxf>
      <font>
        <name val="Arial"/>
      </font>
      <fill>
        <patternFill>
          <bgColor rgb="FFCCFFCC"/>
        </patternFill>
      </fill>
    </dxf>
    <dxf>
      <font>
        <name val="Arial"/>
      </font>
      <fill>
        <patternFill>
          <bgColor rgb="FFCCFFCC"/>
        </patternFill>
      </fill>
    </dxf>
    <dxf>
      <font>
        <color rgb="FFCCFFCC"/>
        <name val="Arial"/>
      </font>
    </dxf>
    <dxf>
      <font>
        <color rgb="FFC0C0C0"/>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C0C0C0"/>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name val="Arial"/>
      </font>
      <fill>
        <patternFill>
          <bgColor rgb="FFCCFFCC"/>
        </patternFill>
      </fill>
    </dxf>
    <dxf>
      <font>
        <name val="Arial"/>
      </font>
      <fill>
        <patternFill>
          <bgColor rgb="FFCCFFCC"/>
        </patternFill>
      </fill>
    </dxf>
    <dxf>
      <font>
        <name val="Arial"/>
      </font>
      <fill>
        <patternFill>
          <bgColor rgb="FFCCFFCC"/>
        </patternFill>
      </fill>
    </dxf>
    <dxf>
      <font>
        <name val="Arial"/>
      </font>
      <fill>
        <patternFill>
          <bgColor rgb="FFCCFFCC"/>
        </patternFill>
      </fill>
    </dxf>
    <dxf>
      <font>
        <name val="Arial"/>
      </font>
      <fill>
        <patternFill>
          <bgColor rgb="FFCCFFCC"/>
        </patternFill>
      </fill>
    </dxf>
    <dxf>
      <font>
        <color rgb="FFCCFFCC"/>
        <name val="Arial"/>
      </font>
    </dxf>
    <dxf>
      <font>
        <color rgb="FFC0C0C0"/>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C0C0C0"/>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CC00"/>
        <name val="Arial"/>
      </font>
    </dxf>
    <dxf>
      <font>
        <color rgb="FFFF00FF"/>
        <name val="Arial"/>
      </font>
    </dxf>
    <dxf>
      <font>
        <name val="Arial"/>
      </font>
      <fill>
        <patternFill>
          <bgColor rgb="FFCCFFCC"/>
        </patternFill>
      </fill>
    </dxf>
    <dxf>
      <font>
        <name val="Arial"/>
      </font>
      <fill>
        <patternFill>
          <bgColor rgb="FFCCFFCC"/>
        </patternFill>
      </fill>
    </dxf>
    <dxf>
      <font>
        <name val="Arial"/>
      </font>
      <fill>
        <patternFill>
          <bgColor rgb="FFCCFFCC"/>
        </patternFill>
      </fill>
    </dxf>
    <dxf>
      <font>
        <name val="Arial"/>
      </font>
      <fill>
        <patternFill>
          <bgColor rgb="FFCCFFCC"/>
        </patternFill>
      </fill>
    </dxf>
    <dxf>
      <font>
        <name val="Arial"/>
      </font>
      <fill>
        <patternFill>
          <bgColor rgb="FFCCFFCC"/>
        </patternFill>
      </fill>
    </dxf>
    <dxf>
      <font>
        <color rgb="FFCCFFCC"/>
        <name val="Arial"/>
      </font>
    </dxf>
    <dxf>
      <font>
        <color rgb="FFC0C0C0"/>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name val="Arial"/>
      </font>
      <fill>
        <patternFill>
          <bgColor rgb="FFFAC090"/>
        </patternFill>
      </fill>
    </dxf>
    <dxf>
      <font>
        <name val="Arial"/>
      </font>
      <fill>
        <patternFill>
          <bgColor rgb="FFFAC090"/>
        </patternFill>
      </fill>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C0C0C0"/>
        <name val="Arial"/>
      </font>
    </dxf>
    <dxf>
      <font>
        <color rgb="FFFFFFFF"/>
        <name val="Arial"/>
      </font>
    </dxf>
    <dxf>
      <font>
        <color rgb="FFC0C0C0"/>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name val="Arial"/>
      </font>
      <fill>
        <patternFill>
          <bgColor rgb="FFCCFFCC"/>
        </patternFill>
      </fill>
    </dxf>
    <dxf>
      <font>
        <name val="Arial"/>
      </font>
      <fill>
        <patternFill>
          <bgColor rgb="FFCCFFCC"/>
        </patternFill>
      </fill>
    </dxf>
    <dxf>
      <font>
        <name val="Arial"/>
      </font>
      <fill>
        <patternFill>
          <bgColor rgb="FFCCFFCC"/>
        </patternFill>
      </fill>
    </dxf>
    <dxf>
      <font>
        <name val="Arial"/>
      </font>
      <fill>
        <patternFill>
          <bgColor rgb="FFCCFFCC"/>
        </patternFill>
      </fill>
    </dxf>
    <dxf>
      <font>
        <name val="Arial"/>
      </font>
      <fill>
        <patternFill>
          <bgColor rgb="FFCCFFCC"/>
        </patternFill>
      </fill>
    </dxf>
    <dxf>
      <font>
        <color rgb="FFCCFFCC"/>
        <name val="Arial"/>
      </font>
    </dxf>
    <dxf>
      <font>
        <color rgb="FFC0C0C0"/>
        <name val="Arial"/>
      </font>
    </dxf>
    <dxf>
      <font>
        <color rgb="FFFFFFFF"/>
        <name val="Arial"/>
      </font>
    </dxf>
    <dxf>
      <font>
        <color rgb="FFFFFFFF"/>
        <name val="Arial"/>
      </font>
    </dxf>
    <dxf>
      <font>
        <color rgb="FFFFFFFF"/>
        <name val="Arial"/>
      </font>
    </dxf>
    <dxf>
      <font>
        <color rgb="FFFFFFFF"/>
        <name val="Arial"/>
      </font>
    </dxf>
    <dxf>
      <font>
        <color rgb="FF000000"/>
        <name val="Arial"/>
      </font>
    </dxf>
    <dxf>
      <font>
        <color rgb="FFC0C0C0"/>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name val="Arial"/>
      </font>
      <fill>
        <patternFill>
          <bgColor rgb="FFCCFFCC"/>
        </patternFill>
      </fill>
    </dxf>
    <dxf>
      <font>
        <name val="Arial"/>
      </font>
      <fill>
        <patternFill>
          <bgColor rgb="FFCCFFCC"/>
        </patternFill>
      </fill>
    </dxf>
    <dxf>
      <font>
        <name val="Arial"/>
      </font>
      <fill>
        <patternFill>
          <bgColor rgb="FFCCFFCC"/>
        </patternFill>
      </fill>
    </dxf>
    <dxf>
      <font>
        <name val="Arial"/>
      </font>
      <fill>
        <patternFill>
          <bgColor rgb="FFCCFFCC"/>
        </patternFill>
      </fill>
    </dxf>
    <dxf>
      <font>
        <name val="Arial"/>
      </font>
      <fill>
        <patternFill>
          <bgColor rgb="FFCCFFCC"/>
        </patternFill>
      </fill>
    </dxf>
    <dxf>
      <font>
        <color rgb="FFCCFFCC"/>
        <name val="Arial"/>
      </font>
    </dxf>
    <dxf>
      <font>
        <color rgb="FFC0C0C0"/>
        <name val="Arial"/>
      </font>
    </dxf>
    <dxf>
      <font>
        <color rgb="FFFFFFFF"/>
        <name val="Arial"/>
      </font>
    </dxf>
    <dxf>
      <font>
        <name val="Arial"/>
      </font>
      <fill>
        <patternFill>
          <bgColor rgb="FFFF99CC"/>
        </patternFill>
      </fill>
    </dxf>
    <dxf>
      <font>
        <name val="Arial"/>
      </font>
      <fill>
        <patternFill>
          <bgColor rgb="FFFF99CC"/>
        </patternFill>
      </fill>
    </dxf>
    <dxf>
      <font>
        <color rgb="FFFFFFFF"/>
        <name val="Arial"/>
      </font>
      <fill>
        <patternFill>
          <bgColor rgb="FFFF99CC"/>
        </patternFill>
      </fill>
    </dxf>
    <dxf>
      <font>
        <color rgb="FFFFFFFF"/>
        <name val="Arial"/>
      </font>
      <fill>
        <patternFill>
          <bgColor rgb="FFFF99CC"/>
        </patternFill>
      </fill>
    </dxf>
    <dxf>
      <font>
        <name val="Arial"/>
      </font>
      <fill>
        <patternFill>
          <bgColor rgb="FFC3D69B"/>
        </patternFill>
      </fill>
    </dxf>
    <dxf>
      <font>
        <name val="Arial"/>
      </font>
      <fill>
        <patternFill>
          <bgColor rgb="FFC3D69B"/>
        </patternFill>
      </fill>
    </dxf>
    <dxf>
      <font>
        <color rgb="FFFFFFFF"/>
        <name val="Arial"/>
      </font>
    </dxf>
    <dxf>
      <font>
        <color rgb="FFFFFFFF"/>
        <name val="Arial"/>
      </font>
      <fill>
        <patternFill>
          <bgColor rgb="FFC3D69B"/>
        </patternFill>
      </fill>
    </dxf>
    <dxf>
      <font>
        <name val="Arial"/>
      </font>
      <fill>
        <patternFill>
          <bgColor rgb="FFFF99CC"/>
        </patternFill>
      </fill>
    </dxf>
    <dxf>
      <font>
        <color rgb="FFC0C0C0"/>
        <name val="Arial"/>
      </font>
    </dxf>
    <dxf>
      <font>
        <name val="Arial"/>
      </font>
      <fill>
        <patternFill>
          <bgColor rgb="FFFF5050"/>
        </patternFill>
      </fill>
    </dxf>
    <dxf>
      <font>
        <color rgb="FFFFFFFF"/>
        <name val="Arial"/>
      </font>
    </dxf>
    <dxf>
      <font>
        <color rgb="FFFFFFFF"/>
        <name val="Arial"/>
      </font>
    </dxf>
    <dxf>
      <font>
        <color rgb="FFFFFFFF"/>
        <name val="Arial"/>
      </font>
    </dxf>
    <dxf>
      <font>
        <color rgb="FF000000"/>
        <name val="Arial"/>
      </font>
    </dxf>
    <dxf>
      <font>
        <color rgb="FFC0C0C0"/>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name val="Arial"/>
      </font>
      <fill>
        <patternFill>
          <bgColor rgb="FFCCFFCC"/>
        </patternFill>
      </fill>
    </dxf>
    <dxf>
      <font>
        <name val="Arial"/>
      </font>
      <fill>
        <patternFill>
          <bgColor rgb="FFCCFFCC"/>
        </patternFill>
      </fill>
    </dxf>
    <dxf>
      <font>
        <name val="Arial"/>
      </font>
      <fill>
        <patternFill>
          <bgColor rgb="FFCCFFCC"/>
        </patternFill>
      </fill>
    </dxf>
    <dxf>
      <font>
        <name val="Arial"/>
      </font>
      <fill>
        <patternFill>
          <bgColor rgb="FFCCFFCC"/>
        </patternFill>
      </fill>
    </dxf>
    <dxf>
      <font>
        <name val="Arial"/>
      </font>
      <fill>
        <patternFill>
          <bgColor rgb="FFCCFFCC"/>
        </patternFill>
      </fill>
    </dxf>
    <dxf>
      <font>
        <color rgb="FFC0C0C0"/>
        <name val="Arial"/>
      </font>
    </dxf>
    <dxf>
      <font>
        <color rgb="FFFFFFFF"/>
        <name val="Arial"/>
      </font>
    </dxf>
    <dxf>
      <font>
        <name val="Arial"/>
      </font>
      <fill>
        <patternFill>
          <bgColor rgb="FFD9D9D9"/>
        </patternFill>
      </fill>
    </dxf>
    <dxf>
      <font>
        <name val="Arial"/>
      </font>
      <fill>
        <patternFill>
          <bgColor rgb="FFD9D9D9"/>
        </patternFill>
      </fill>
    </dxf>
    <dxf>
      <font>
        <name val="Arial"/>
      </font>
      <fill>
        <patternFill>
          <bgColor rgb="FFD9D9D9"/>
        </patternFill>
      </fill>
    </dxf>
    <dxf>
      <font>
        <name val="Arial"/>
      </font>
      <fill>
        <patternFill>
          <bgColor rgb="FFD9D9D9"/>
        </patternFill>
      </fill>
    </dxf>
    <dxf>
      <font>
        <name val="Arial"/>
      </font>
      <fill>
        <patternFill>
          <bgColor rgb="FFD9D9D9"/>
        </patternFill>
      </fill>
    </dxf>
    <dxf>
      <font>
        <name val="Arial"/>
      </font>
      <fill>
        <patternFill>
          <bgColor rgb="FFD9D9D9"/>
        </patternFill>
      </fill>
    </dxf>
    <dxf>
      <font>
        <color rgb="FFFFFFFF"/>
        <name val="Arial"/>
      </font>
    </dxf>
    <dxf>
      <font>
        <color rgb="FFFFFFFF"/>
        <name val="Arial"/>
      </font>
    </dxf>
    <dxf>
      <font>
        <color rgb="FFFFFFFF"/>
        <name val="Arial"/>
      </font>
    </dxf>
    <dxf>
      <font>
        <name val="Arial"/>
      </font>
      <fill>
        <patternFill>
          <bgColor rgb="FFFF99CC"/>
        </patternFill>
      </fill>
    </dxf>
    <dxf>
      <font>
        <name val="Arial"/>
      </font>
      <fill>
        <patternFill>
          <bgColor rgb="FFFF99CC"/>
        </patternFill>
      </fill>
    </dxf>
    <dxf>
      <font>
        <color rgb="FFFFFFFF"/>
        <name val="Arial"/>
      </font>
      <fill>
        <patternFill>
          <bgColor rgb="FFFF99CC"/>
        </patternFill>
      </fill>
    </dxf>
    <dxf>
      <font>
        <color rgb="FFFFFFFF"/>
        <name val="Arial"/>
      </font>
      <fill>
        <patternFill>
          <bgColor rgb="FFFF99CC"/>
        </patternFill>
      </fill>
    </dxf>
    <dxf>
      <font>
        <name val="Arial"/>
      </font>
      <fill>
        <patternFill>
          <bgColor rgb="FFFF5050"/>
        </patternFill>
      </fill>
    </dxf>
    <dxf>
      <font>
        <name val="Arial"/>
      </font>
      <fill>
        <patternFill>
          <bgColor rgb="FFFF5050"/>
        </patternFill>
      </fill>
    </dxf>
    <dxf>
      <font>
        <name val="Arial"/>
      </font>
      <fill>
        <patternFill>
          <bgColor rgb="FFFF5050"/>
        </patternFill>
      </fill>
    </dxf>
    <dxf>
      <font>
        <name val="Arial"/>
      </font>
      <fill>
        <patternFill>
          <bgColor rgb="FFFF5050"/>
        </patternFill>
      </fill>
    </dxf>
    <dxf>
      <font>
        <name val="Arial"/>
      </font>
      <fill>
        <patternFill>
          <bgColor rgb="FFD9D9D9"/>
        </patternFill>
      </fill>
    </dxf>
    <dxf>
      <font>
        <name val="Arial"/>
      </font>
      <fill>
        <patternFill>
          <bgColor rgb="FFD9D9D9"/>
        </patternFill>
      </fill>
    </dxf>
    <dxf>
      <font>
        <name val="Arial"/>
      </font>
      <fill>
        <patternFill>
          <bgColor rgb="FFD9D9D9"/>
        </patternFill>
      </fill>
    </dxf>
    <dxf>
      <font>
        <name val="Arial"/>
      </font>
      <fill>
        <patternFill>
          <bgColor rgb="FFD9D9D9"/>
        </patternFill>
      </fill>
    </dxf>
    <dxf>
      <font>
        <name val="Arial"/>
      </font>
      <fill>
        <patternFill>
          <bgColor rgb="FFD9D9D9"/>
        </patternFill>
      </fill>
    </dxf>
    <dxf>
      <font>
        <name val="Arial"/>
      </font>
      <fill>
        <patternFill>
          <bgColor rgb="FFD9D9D9"/>
        </patternFill>
      </fill>
    </dxf>
    <dxf>
      <font>
        <color rgb="FFFFFFFF"/>
        <name val="Arial"/>
      </font>
    </dxf>
    <dxf>
      <font>
        <color rgb="FFFFFFFF"/>
        <name val="Arial"/>
      </font>
    </dxf>
    <dxf>
      <font>
        <color rgb="FFFFFFFF"/>
        <name val="Arial"/>
      </font>
    </dxf>
    <dxf>
      <font>
        <color rgb="FF000000"/>
        <name val="Arial"/>
      </font>
    </dxf>
    <dxf>
      <font>
        <color rgb="FFC0C0C0"/>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color rgb="FFFFFFFF"/>
        <name val="Arial"/>
      </font>
    </dxf>
    <dxf>
      <font>
        <name val="Arial"/>
      </font>
      <fill>
        <patternFill>
          <bgColor rgb="FFCCFFCC"/>
        </patternFill>
      </fill>
    </dxf>
    <dxf>
      <font>
        <name val="Arial"/>
      </font>
      <fill>
        <patternFill>
          <bgColor rgb="FFCCFFCC"/>
        </patternFill>
      </fill>
    </dxf>
    <dxf>
      <font>
        <name val="Arial"/>
      </font>
      <fill>
        <patternFill>
          <bgColor rgb="FFCCFFCC"/>
        </patternFill>
      </fill>
    </dxf>
    <dxf>
      <font>
        <name val="Arial"/>
      </font>
      <fill>
        <patternFill>
          <bgColor rgb="FFCCFFCC"/>
        </patternFill>
      </fill>
    </dxf>
    <dxf>
      <font>
        <name val="Arial"/>
      </font>
      <fill>
        <patternFill>
          <bgColor rgb="FFCCFFCC"/>
        </patternFill>
      </fill>
    </dxf>
    <dxf>
      <font>
        <color rgb="FFCCFFCC"/>
        <name val="Arial"/>
      </font>
    </dxf>
    <dxf>
      <font>
        <color rgb="FFC0C0C0"/>
        <name val="Arial"/>
      </font>
    </dxf>
    <dxf>
      <font>
        <color rgb="FFFFFFFF"/>
        <name val="Arial"/>
      </font>
    </dxf>
    <dxf>
      <font>
        <name val="Arial"/>
      </font>
      <fill>
        <patternFill>
          <bgColor rgb="FFFFFF99"/>
        </patternFill>
      </fill>
    </dxf>
    <dxf>
      <font>
        <color rgb="FFFFFFFF"/>
        <name val="Arial"/>
      </font>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CCFFCC"/>
        </patternFill>
      </fill>
    </dxf>
    <dxf>
      <font>
        <name val="Arial"/>
      </font>
      <fill>
        <patternFill>
          <bgColor rgb="FFCCFFCC"/>
        </patternFill>
      </fill>
    </dxf>
    <dxf>
      <font>
        <name val="Arial"/>
      </font>
      <fill>
        <patternFill>
          <bgColor rgb="FFD7E4BD"/>
        </patternFill>
      </fill>
    </dxf>
    <dxf>
      <font>
        <name val="Arial"/>
      </font>
      <fill>
        <patternFill>
          <bgColor rgb="FFCCFF99"/>
        </patternFill>
      </fill>
    </dxf>
    <dxf>
      <font>
        <name val="Arial"/>
      </font>
      <fill>
        <patternFill>
          <bgColor rgb="FFCCFF99"/>
        </patternFill>
      </fill>
    </dxf>
    <dxf>
      <font>
        <name val="Arial"/>
      </font>
      <fill>
        <patternFill>
          <bgColor rgb="FFCCFFFF"/>
        </patternFill>
      </fill>
    </dxf>
    <dxf>
      <font>
        <name val="Arial"/>
      </font>
      <fill>
        <patternFill>
          <bgColor rgb="FFCCFFFF"/>
        </patternFill>
      </fill>
    </dxf>
    <dxf>
      <font>
        <name val="Arial"/>
      </font>
      <fill>
        <patternFill>
          <bgColor rgb="FFFFCC66"/>
        </patternFill>
      </fill>
    </dxf>
    <dxf>
      <font>
        <name val="Arial"/>
      </font>
      <fill>
        <patternFill>
          <bgColor rgb="FFFFCC66"/>
        </patternFill>
      </fill>
    </dxf>
    <dxf>
      <font>
        <name val="Arial"/>
      </font>
      <fill>
        <patternFill>
          <bgColor rgb="FFFFCC66"/>
        </patternFill>
      </fill>
    </dxf>
    <dxf>
      <font>
        <name val="Arial"/>
      </font>
      <fill>
        <patternFill>
          <bgColor rgb="FFFFCC66"/>
        </patternFill>
      </fill>
    </dxf>
    <dxf>
      <font>
        <name val="Arial"/>
      </font>
      <fill>
        <patternFill>
          <bgColor rgb="FFFAC090"/>
        </patternFill>
      </fill>
    </dxf>
    <dxf>
      <font>
        <name val="Arial"/>
      </font>
      <fill>
        <patternFill>
          <bgColor rgb="FFFAC090"/>
        </patternFill>
      </fill>
    </dxf>
    <dxf>
      <font>
        <name val="Arial"/>
      </font>
      <fill>
        <patternFill>
          <bgColor rgb="FF99CCFF"/>
        </patternFill>
      </fill>
    </dxf>
    <dxf>
      <font>
        <name val="Arial"/>
      </font>
      <fill>
        <patternFill>
          <bgColor rgb="FF99CCFF"/>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66FFFF"/>
        </patternFill>
      </fill>
      <border diagonalUp="0" diagonalDown="0">
        <left style="thin">
          <color auto="1"/>
        </left>
        <right style="thin">
          <color auto="1"/>
        </right>
        <top style="thin">
          <color auto="1"/>
        </top>
        <bottom style="thin">
          <color auto="1"/>
        </bottom>
      </border>
    </dxf>
    <dxf>
      <font>
        <name val="Arial"/>
      </font>
      <fill>
        <patternFill>
          <bgColor rgb="FFFFFF00"/>
        </patternFill>
      </fill>
      <border diagonalUp="0" diagonalDown="0">
        <left style="thin">
          <color auto="1"/>
        </left>
        <right style="thin">
          <color auto="1"/>
        </right>
        <top style="thin">
          <color auto="1"/>
        </top>
        <bottom style="thin">
          <color auto="1"/>
        </bottom>
      </border>
    </dxf>
    <dxf>
      <font>
        <b/>
        <i val="0"/>
        <color rgb="FFFF0000"/>
        <name val="Arial"/>
      </font>
    </dxf>
    <dxf>
      <font>
        <b/>
        <i val="0"/>
        <color rgb="FFFF0000"/>
        <name val="Arial"/>
      </font>
    </dxf>
    <dxf>
      <font>
        <b/>
        <i val="0"/>
        <color rgb="FFFF0000"/>
        <name val="Arial"/>
      </font>
    </dxf>
    <dxf>
      <font>
        <name val="Arial"/>
      </font>
      <fill>
        <patternFill>
          <bgColor rgb="FFFFFF99"/>
        </patternFill>
      </fill>
    </dxf>
    <dxf>
      <font>
        <b/>
        <i val="0"/>
        <color rgb="FFFF0000"/>
        <name val="Arial"/>
      </font>
    </dxf>
    <dxf>
      <font>
        <b/>
        <i val="0"/>
        <color rgb="FFFF0000"/>
        <name val="Arial"/>
      </font>
    </dxf>
    <dxf>
      <font>
        <name val="Arial"/>
      </font>
      <fill>
        <patternFill>
          <bgColor rgb="FFFFFF99"/>
        </patternFill>
      </fill>
    </dxf>
    <dxf>
      <font>
        <name val="Arial"/>
      </font>
      <fill>
        <patternFill>
          <bgColor rgb="FFFFFF99"/>
        </patternFill>
      </fill>
    </dxf>
    <dxf>
      <font>
        <name val="Arial"/>
      </font>
      <fill>
        <patternFill>
          <bgColor rgb="FFFFFF99"/>
        </patternFill>
      </fill>
    </dxf>
    <dxf>
      <font>
        <name val="Arial"/>
      </font>
      <fill>
        <patternFill>
          <bgColor rgb="FFFFFF99"/>
        </patternFill>
      </fill>
    </dxf>
    <dxf>
      <font>
        <color rgb="FFFFFFFF"/>
        <name val="Arial"/>
      </font>
    </dxf>
    <dxf>
      <font>
        <color rgb="FFFFFFFF"/>
        <name val="Arial"/>
      </font>
    </dxf>
    <dxf>
      <font>
        <color rgb="FFFFFFFF"/>
        <name val="Arial"/>
      </font>
    </dxf>
    <dxf>
      <font>
        <color rgb="FFFFFFFF"/>
        <name val="Arial"/>
      </font>
    </dxf>
    <dxf>
      <font>
        <name val="Arial"/>
      </font>
      <fill>
        <patternFill>
          <bgColor rgb="FF66FFFF"/>
        </patternFill>
      </fill>
      <border diagonalUp="0" diagonalDown="0">
        <left style="thin">
          <color auto="1"/>
        </left>
        <right style="thin">
          <color auto="1"/>
        </right>
        <top style="thin">
          <color auto="1"/>
        </top>
        <bottom style="thin">
          <color auto="1"/>
        </bottom>
      </border>
    </dxf>
    <dxf>
      <font>
        <name val="Arial"/>
      </font>
      <fill>
        <patternFill>
          <bgColor rgb="FFEEECE1"/>
        </patternFill>
      </fill>
    </dxf>
    <dxf>
      <font>
        <name val="Arial"/>
      </font>
      <fill>
        <patternFill>
          <bgColor rgb="FFBACB55"/>
        </patternFill>
      </fill>
    </dxf>
    <dxf>
      <font>
        <name val="Arial"/>
      </font>
      <fill>
        <patternFill>
          <bgColor rgb="FF7F7F80"/>
        </patternFill>
      </fill>
    </dxf>
    <dxf>
      <font>
        <color rgb="FFB9CDE5"/>
        <name val="Arial"/>
      </font>
    </dxf>
    <dxf>
      <font>
        <name val="Arial"/>
      </font>
      <fill>
        <patternFill>
          <bgColor rgb="FF66FFFF"/>
        </patternFill>
      </fill>
      <border diagonalUp="0" diagonalDown="0">
        <left style="thin">
          <color auto="1"/>
        </left>
        <right style="thin">
          <color auto="1"/>
        </right>
        <top style="thin">
          <color auto="1"/>
        </top>
        <bottom style="thin">
          <color auto="1"/>
        </bottom>
      </border>
    </dxf>
    <dxf>
      <font>
        <name val="Arial"/>
      </font>
      <fill>
        <patternFill>
          <bgColor rgb="FFB9CDE5"/>
        </patternFill>
      </fill>
    </dxf>
    <dxf>
      <font>
        <name val="Arial"/>
      </font>
      <fill>
        <patternFill>
          <bgColor rgb="FFFFFF99"/>
        </patternFill>
      </fill>
    </dxf>
    <dxf>
      <font>
        <strike val="0"/>
        <color rgb="FF1F497D"/>
        <name val="Arial"/>
      </font>
      <fill>
        <patternFill>
          <bgColor rgb="FFFFFFFF"/>
        </patternFill>
      </fill>
    </dxf>
    <dxf>
      <font>
        <b val="0"/>
        <color rgb="FF000000"/>
        <name val="Arial"/>
      </font>
      <fill>
        <patternFill>
          <bgColor rgb="FF7F7F7F"/>
        </patternFill>
      </fill>
    </dxf>
    <dxf>
      <font>
        <b val="0"/>
        <color rgb="FF800080"/>
        <name val="Arial"/>
      </font>
      <fill>
        <patternFill>
          <bgColor rgb="FFFF99CC"/>
        </patternFill>
      </fill>
    </dxf>
    <dxf>
      <font>
        <b val="0"/>
        <color rgb="FF800080"/>
        <name val="Arial"/>
      </font>
      <fill>
        <patternFill>
          <bgColor rgb="FFFF99CC"/>
        </patternFill>
      </fill>
    </dxf>
  </dxfs>
  <tableStyles count="0" defaultTableStyle="TableStyleMedium9" defaultPivotStyle="PivotStyleLight16"/>
  <colors>
    <indexedColors>
      <rgbColor rgb="FF000000"/>
      <rgbColor rgb="FFFFFFFF"/>
      <rgbColor rgb="FFFF0000"/>
      <rgbColor rgb="FFCCFF99"/>
      <rgbColor rgb="FF0000FF"/>
      <rgbColor rgb="FFFFFF00"/>
      <rgbColor rgb="FFFF00FF"/>
      <rgbColor rgb="FF00FFFF"/>
      <rgbColor rgb="FFEEECE1"/>
      <rgbColor rgb="FF008000"/>
      <rgbColor rgb="FFF2F2F2"/>
      <rgbColor rgb="FF7F7F7F"/>
      <rgbColor rgb="FF800080"/>
      <rgbColor rgb="FFD9D9D9"/>
      <rgbColor rgb="FFC0C0C0"/>
      <rgbColor rgb="FF808080"/>
      <rgbColor rgb="FF8EB4E3"/>
      <rgbColor rgb="FFB3A2C7"/>
      <rgbColor rgb="FFFFFFCC"/>
      <rgbColor rgb="FFCCFFFF"/>
      <rgbColor rgb="FFF2DCDB"/>
      <rgbColor rgb="FFE6B9B8"/>
      <rgbColor rgb="FF0070C0"/>
      <rgbColor rgb="FFB9CDE5"/>
      <rgbColor rgb="FFFFFF6D"/>
      <rgbColor rgb="FFFCD5B5"/>
      <rgbColor rgb="FFFFFF38"/>
      <rgbColor rgb="FFC3D69B"/>
      <rgbColor rgb="FFD7E4BD"/>
      <rgbColor rgb="FFFDEADA"/>
      <rgbColor rgb="FFDDD9C3"/>
      <rgbColor rgb="FFEBF1DE"/>
      <rgbColor rgb="FFB7DEE8"/>
      <rgbColor rgb="FFDBEEF4"/>
      <rgbColor rgb="FFCCFFCC"/>
      <rgbColor rgb="FFFFFF99"/>
      <rgbColor rgb="FF99CCFF"/>
      <rgbColor rgb="FFFF99CC"/>
      <rgbColor rgb="FFCC99FF"/>
      <rgbColor rgb="FFFFCC99"/>
      <rgbColor rgb="FFA6A6A6"/>
      <rgbColor rgb="FF66FFFF"/>
      <rgbColor rgb="FFADCE53"/>
      <rgbColor rgb="FFFFCC00"/>
      <rgbColor rgb="FFFFCC66"/>
      <rgbColor rgb="FFFF5050"/>
      <rgbColor rgb="FF7B808E"/>
      <rgbColor rgb="FF969696"/>
      <rgbColor rgb="FF10243E"/>
      <rgbColor rgb="FF999999"/>
      <rgbColor rgb="FFDCE6F2"/>
      <rgbColor rgb="FFE6E905"/>
      <rgbColor rgb="FFFAC090"/>
      <rgbColor rgb="FFBFBFBF"/>
      <rgbColor rgb="FF234165"/>
      <rgbColor rgb="FF2E2E2E"/>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s10.xml><?xml version="1.0" encoding="utf-8"?>
<formControlPr xmlns="http://schemas.microsoft.com/office/spreadsheetml/2009/9/main" objectType="CheckBox" autoLine="false" print="true" fmlaLink="Zusatzeingaben!$F$208" lockText="1" noThreeD="1"/>
</file>

<file path=xl/ctrlProps/ctrlProps2.xml><?xml version="1.0" encoding="utf-8"?>
<formControlPr xmlns="http://schemas.microsoft.com/office/spreadsheetml/2009/9/main" objectType="CheckBox" autoLine="false" print="true" fmlaLink="Eingabetabelle!$I$164" lockText="1" noThreeD="1"/>
</file>

<file path=xl/ctrlProps/ctrlProps4.xml><?xml version="1.0" encoding="utf-8"?>
<formControlPr xmlns="http://schemas.microsoft.com/office/spreadsheetml/2009/9/main" objectType="CheckBox" autoLine="false" print="true" fmlaLink="Hinweise!$B$4" lockText="1" noThreeD="1"/>
</file>

<file path=xl/ctrlProps/ctrlProps5.xml><?xml version="1.0" encoding="utf-8"?>
<formControlPr xmlns="http://schemas.microsoft.com/office/spreadsheetml/2009/9/main" objectType="CheckBox" autoLine="false" print="true" fmlaLink="Gutschein!$B$5" lockText="1" noThreeD="1"/>
</file>

<file path=xl/ctrlProps/ctrlProps7.xml><?xml version="1.0" encoding="utf-8"?>
<formControlPr xmlns="http://schemas.microsoft.com/office/spreadsheetml/2009/9/main" objectType="CheckBox" checked="Checked" autoLine="false" print="true" fmlaLink="Zusatzeingaben!$C$208" lockText="1" noThreeD="1"/>
</file>

<file path=xl/ctrlProps/ctrlProps8.xml><?xml version="1.0" encoding="utf-8"?>
<formControlPr xmlns="http://schemas.microsoft.com/office/spreadsheetml/2009/9/main" objectType="CheckBox" autoLine="false" print="true" fmlaLink="Zusatzeingaben!$D$208" lockText="1" noThreeD="1"/>
</file>

<file path=xl/ctrlProps/ctrlProps9.xml><?xml version="1.0" encoding="utf-8"?>
<formControlPr xmlns="http://schemas.microsoft.com/office/spreadsheetml/2009/9/main" objectType="CheckBox" checked="Checked" autoLine="false" print="true" fmlaLink="Zusatzeingaben!$E$208" lockText="1" noThreeD="1"/>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7" Type="http://schemas.openxmlformats.org/officeDocument/2006/relationships/ctrlProp" Target="../ctrlProps/ctrlProps10.xml"/><Relationship Id="rId2" Type="http://schemas.openxmlformats.org/officeDocument/2006/relationships/comments" Target="../comments3.xml"/><Relationship Id="rId1" Type="http://schemas.openxmlformats.org/officeDocument/2006/relationships/vmlDrawing" Target="../drawings/vmlDrawing3.vml"/><Relationship Id="rId6" Type="http://schemas.openxmlformats.org/officeDocument/2006/relationships/ctrlProp" Target="../ctrlProps/ctrlProps9.xml"/><Relationship Id="rId5" Type="http://schemas.openxmlformats.org/officeDocument/2006/relationships/ctrlProp" Target="../ctrlProps/ctrlProps8.xml"/><Relationship Id="rId4" Type="http://schemas.openxmlformats.org/officeDocument/2006/relationships/ctrlProp" Target="../ctrlProps/ctrlProps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 Id="rId4" Type="http://schemas.openxmlformats.org/officeDocument/2006/relationships/ctrlProp" Target="../ctrlProps/ctrlProp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s5.xml"/><Relationship Id="rId2" Type="http://schemas.openxmlformats.org/officeDocument/2006/relationships/ctrlProp" Target="../ctrlProps/ctrlProps4.xml"/></Relationships>
</file>

<file path=xl/worksheets/sheet1.xml><?xml version="1.0" encoding="utf-8"?>
<worksheet xmlns="http://schemas.openxmlformats.org/spreadsheetml/2006/main" xmlns:r="http://schemas.openxmlformats.org/officeDocument/2006/relationships">
  <dimension ref="A1:BL271"/>
  <sheetViews>
    <sheetView tabSelected="1" zoomScaleNormal="100" workbookViewId="0">
      <selection activeCell="D82" sqref="D82"/>
    </sheetView>
  </sheetViews>
  <sheetFormatPr baseColWidth="10" defaultColWidth="11.5703125" defaultRowHeight="12.75"/>
  <cols>
    <col min="1" max="1" width="6.140625" customWidth="1"/>
    <col min="2" max="64" width="10.5703125" customWidth="1"/>
  </cols>
  <sheetData>
    <row r="1" spans="1:64" ht="47.25" customHeight="1">
      <c r="A1" s="1910" t="s">
        <v>0</v>
      </c>
      <c r="B1" s="1910"/>
      <c r="C1" s="1910"/>
      <c r="D1" s="1910"/>
      <c r="E1" s="1910"/>
      <c r="F1" s="1910"/>
      <c r="G1" s="1910"/>
      <c r="H1" s="1910"/>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3" spans="1:64" ht="36" customHeight="1">
      <c r="A3" s="1">
        <v>1</v>
      </c>
      <c r="B3" s="1908" t="s">
        <v>1</v>
      </c>
      <c r="C3" s="1908"/>
      <c r="D3" s="1908"/>
      <c r="E3" s="1908"/>
      <c r="F3" s="1908"/>
      <c r="G3" s="1908"/>
      <c r="H3" s="1908"/>
    </row>
    <row r="4" spans="1:64" ht="20.45" customHeight="1">
      <c r="A4" s="1">
        <v>2</v>
      </c>
      <c r="B4" s="1911" t="s">
        <v>2</v>
      </c>
      <c r="C4" s="1911"/>
      <c r="D4" s="1911"/>
      <c r="E4" s="1911"/>
      <c r="F4" s="1911"/>
      <c r="G4" s="1911"/>
      <c r="H4" s="1911"/>
    </row>
    <row r="5" spans="1:64" ht="104.45" customHeight="1">
      <c r="A5" s="1">
        <v>3</v>
      </c>
      <c r="B5" s="1908" t="s">
        <v>3</v>
      </c>
      <c r="C5" s="1908"/>
      <c r="D5" s="1908"/>
      <c r="E5" s="1908"/>
      <c r="F5" s="1908"/>
      <c r="G5" s="1908"/>
      <c r="H5" s="1908"/>
    </row>
    <row r="6" spans="1:64" ht="28.5" customHeight="1">
      <c r="A6" s="1">
        <v>4</v>
      </c>
      <c r="B6" s="1908" t="s">
        <v>4</v>
      </c>
      <c r="C6" s="1908"/>
      <c r="D6" s="1908"/>
      <c r="E6" s="1908"/>
      <c r="F6" s="1908"/>
      <c r="G6" s="1908"/>
      <c r="H6" s="1908"/>
    </row>
    <row r="7" spans="1:64" ht="42" customHeight="1">
      <c r="A7" s="1">
        <v>5</v>
      </c>
      <c r="B7" s="1908" t="s">
        <v>5</v>
      </c>
      <c r="C7" s="1908"/>
      <c r="D7" s="1908"/>
      <c r="E7" s="1908"/>
      <c r="F7" s="1908"/>
      <c r="G7" s="1908"/>
      <c r="H7" s="1908"/>
    </row>
    <row r="9" spans="1:64" ht="18">
      <c r="B9" s="1909" t="s">
        <v>6</v>
      </c>
      <c r="C9" s="1909"/>
      <c r="D9" s="1909"/>
      <c r="E9" s="1909"/>
      <c r="F9" s="1909"/>
      <c r="G9" s="1909"/>
      <c r="H9" s="1909"/>
    </row>
    <row r="82" spans="4:4">
      <c r="D82" s="2"/>
    </row>
    <row r="271" spans="3:3">
      <c r="C271">
        <v>1</v>
      </c>
    </row>
  </sheetData>
  <sheetProtection sheet="1" objects="1" scenarios="1"/>
  <mergeCells count="7">
    <mergeCell ref="B7:H7"/>
    <mergeCell ref="B9:H9"/>
    <mergeCell ref="A1:H1"/>
    <mergeCell ref="B3:H3"/>
    <mergeCell ref="B4:H4"/>
    <mergeCell ref="B5:H5"/>
    <mergeCell ref="B6:H6"/>
  </mergeCells>
  <hyperlinks>
    <hyperlink ref="B9" location="Eingabetabelle!H13" display="Und jetzt viel Erfolg mit dem Rechner"/>
  </hyperlinks>
  <pageMargins left="0.7" right="0.7" top="0.78749999999999998" bottom="0.78749999999999998"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dimension ref="A1:BL98"/>
  <sheetViews>
    <sheetView showGridLines="0" zoomScale="115" zoomScaleNormal="115" workbookViewId="0">
      <selection activeCell="A11" sqref="A11"/>
    </sheetView>
  </sheetViews>
  <sheetFormatPr baseColWidth="10" defaultColWidth="11.5703125" defaultRowHeight="12.75"/>
  <cols>
    <col min="1" max="1" width="37.140625" customWidth="1"/>
    <col min="2" max="2" width="16.7109375" customWidth="1"/>
    <col min="3" max="9" width="12.85546875" customWidth="1"/>
    <col min="10" max="64" width="10.5703125" customWidth="1"/>
  </cols>
  <sheetData>
    <row r="1" spans="1:9" ht="16.5">
      <c r="A1" s="801"/>
      <c r="B1" s="801"/>
      <c r="C1" s="801"/>
      <c r="D1" s="801"/>
      <c r="E1" s="801"/>
      <c r="F1" s="801"/>
      <c r="G1" s="801"/>
      <c r="H1" s="802" t="s">
        <v>2156</v>
      </c>
      <c r="I1" s="803">
        <f ca="1">TODAY()</f>
        <v>44774</v>
      </c>
    </row>
    <row r="2" spans="1:9" ht="24.95" customHeight="1">
      <c r="A2" s="1996" t="s">
        <v>2308</v>
      </c>
      <c r="B2" s="1996"/>
      <c r="C2" s="1996"/>
      <c r="D2" s="1996"/>
      <c r="E2" s="1996"/>
      <c r="F2" s="1996"/>
      <c r="G2" s="1996"/>
      <c r="H2" s="1996"/>
      <c r="I2" s="1996"/>
    </row>
    <row r="3" spans="1:9" ht="20.100000000000001" customHeight="1">
      <c r="A3" s="806" t="s">
        <v>138</v>
      </c>
      <c r="B3" s="1990">
        <f>Zusatzeingaben!B2</f>
        <v>0</v>
      </c>
      <c r="C3" s="1990"/>
      <c r="D3" s="807" t="s">
        <v>139</v>
      </c>
      <c r="E3" s="813">
        <f>Zusatzeingaben!E2</f>
        <v>44774</v>
      </c>
      <c r="F3" s="809" t="s">
        <v>2158</v>
      </c>
      <c r="G3" s="814">
        <f>Zusatzeingaben!F2</f>
        <v>44804</v>
      </c>
      <c r="H3" s="811"/>
      <c r="I3" s="812"/>
    </row>
    <row r="4" spans="1:9" ht="24.95" customHeight="1">
      <c r="A4" s="801"/>
      <c r="B4" s="801"/>
      <c r="C4" s="801"/>
      <c r="D4" s="801"/>
      <c r="E4" s="801"/>
      <c r="F4" s="801"/>
      <c r="G4" s="801"/>
      <c r="H4" s="801"/>
      <c r="I4" s="801"/>
    </row>
    <row r="5" spans="1:9" ht="24.95" customHeight="1">
      <c r="A5" s="1550" t="s">
        <v>2309</v>
      </c>
      <c r="B5" s="847" t="s">
        <v>246</v>
      </c>
      <c r="C5" s="847" t="str">
        <f>Zusatzeingaben!C4</f>
        <v>Antragsteller</v>
      </c>
      <c r="D5" s="847" t="str">
        <f>Zusatzeingaben!D4</f>
        <v>Partner(in)</v>
      </c>
      <c r="E5" s="847" t="str">
        <f>Zusatzeingaben!E4</f>
        <v>Kind 1</v>
      </c>
      <c r="F5" s="847" t="s">
        <v>145</v>
      </c>
      <c r="G5" s="847" t="s">
        <v>146</v>
      </c>
      <c r="H5" s="847" t="s">
        <v>147</v>
      </c>
      <c r="I5" s="848" t="s">
        <v>148</v>
      </c>
    </row>
    <row r="6" spans="1:9" ht="20.100000000000001" customHeight="1">
      <c r="A6" s="863" t="s">
        <v>2159</v>
      </c>
      <c r="B6" s="1324">
        <f>Zusatzeingaben!B6</f>
        <v>1</v>
      </c>
      <c r="C6" s="841">
        <f>Zusatzeingaben!C6</f>
        <v>0</v>
      </c>
      <c r="D6" s="841">
        <f>Zusatzeingaben!D6</f>
        <v>0</v>
      </c>
      <c r="E6" s="841">
        <f>Zusatzeingaben!E6</f>
        <v>0</v>
      </c>
      <c r="F6" s="841">
        <f>Zusatzeingaben!F6</f>
        <v>0</v>
      </c>
      <c r="G6" s="841">
        <f>Zusatzeingaben!G6</f>
        <v>0</v>
      </c>
      <c r="H6" s="841">
        <f>Zusatzeingaben!H6</f>
        <v>0</v>
      </c>
      <c r="I6" s="842">
        <f>Zusatzeingaben!I6</f>
        <v>0</v>
      </c>
    </row>
    <row r="7" spans="1:9" ht="20.100000000000001" hidden="1" customHeight="1">
      <c r="A7" s="863" t="s">
        <v>2160</v>
      </c>
      <c r="B7" s="864"/>
      <c r="C7" s="1325" t="str">
        <f>Zusatzeingaben!E7</f>
        <v>nein</v>
      </c>
      <c r="D7" s="1325" t="str">
        <f>Zusatzeingaben!F7</f>
        <v>nein</v>
      </c>
      <c r="E7" s="1325"/>
      <c r="F7" s="1325"/>
      <c r="G7" s="1325"/>
      <c r="H7" s="1325"/>
      <c r="I7" s="1326"/>
    </row>
    <row r="8" spans="1:9" ht="17.100000000000001" customHeight="1">
      <c r="A8" s="863" t="s">
        <v>2161</v>
      </c>
      <c r="B8" s="889"/>
      <c r="C8" s="879">
        <f>Zusatzeingaben!C22</f>
        <v>0</v>
      </c>
      <c r="D8" s="879">
        <f>Zusatzeingaben!D22</f>
        <v>0</v>
      </c>
      <c r="E8" s="879">
        <f>IF(Zusatzeingaben!E16=0,Zusatzeingaben!E16,Zusatzeingaben!E22)</f>
        <v>0</v>
      </c>
      <c r="F8" s="879">
        <f>IF(Zusatzeingaben!F16=0,Zusatzeingaben!F16,Zusatzeingaben!F22)</f>
        <v>0</v>
      </c>
      <c r="G8" s="879">
        <f>IF(Zusatzeingaben!G16=0,Zusatzeingaben!G16,Zusatzeingaben!G22)</f>
        <v>0</v>
      </c>
      <c r="H8" s="879">
        <f>IF(Zusatzeingaben!H16=0,Zusatzeingaben!H16,Zusatzeingaben!H22)</f>
        <v>0</v>
      </c>
      <c r="I8" s="880">
        <f>IF(Zusatzeingaben!I16=0,Zusatzeingaben!I16,Zusatzeingaben!I22)</f>
        <v>0</v>
      </c>
    </row>
    <row r="9" spans="1:9" ht="17.100000000000001" customHeight="1">
      <c r="A9" s="1551" t="s">
        <v>2162</v>
      </c>
      <c r="B9" s="1327"/>
      <c r="C9" s="1552" t="str">
        <f>Zusatzeingaben!C35</f>
        <v>ja</v>
      </c>
      <c r="D9" s="1552">
        <f>IF(Zusatzeingaben!D33&gt;0,Zusatzeingaben!D35,0)</f>
        <v>0</v>
      </c>
      <c r="E9" s="1552">
        <f>IF(Zusatzeingaben!E33&gt;0,Zusatzeingaben!E35,0)</f>
        <v>0</v>
      </c>
      <c r="F9" s="1552">
        <f>IF(Zusatzeingaben!F33&gt;0,Zusatzeingaben!F35,0)</f>
        <v>0</v>
      </c>
      <c r="G9" s="1552">
        <f>IF(Zusatzeingaben!G33&gt;0,Zusatzeingaben!G35,0)</f>
        <v>0</v>
      </c>
      <c r="H9" s="1552">
        <f>IF(Zusatzeingaben!H33&gt;0,Zusatzeingaben!H35,0)</f>
        <v>0</v>
      </c>
      <c r="I9" s="1553">
        <f>IF(Zusatzeingaben!I33&gt;0,Zusatzeingaben!I35,0)</f>
        <v>0</v>
      </c>
    </row>
    <row r="10" spans="1:9" ht="20.100000000000001" customHeight="1">
      <c r="A10" s="1554" t="s">
        <v>2310</v>
      </c>
      <c r="B10" s="1555"/>
      <c r="C10" s="1555"/>
      <c r="D10" s="1555"/>
      <c r="E10" s="1555"/>
      <c r="F10" s="1555"/>
      <c r="G10" s="1555"/>
      <c r="H10" s="1555"/>
      <c r="I10" s="1556"/>
    </row>
    <row r="11" spans="1:9" ht="20.100000000000001" customHeight="1">
      <c r="A11" s="464" t="s">
        <v>2311</v>
      </c>
      <c r="B11" s="1557"/>
      <c r="C11" s="457"/>
      <c r="D11" s="457"/>
      <c r="E11" s="457"/>
      <c r="F11" s="457"/>
      <c r="G11" s="457"/>
      <c r="H11" s="457"/>
      <c r="I11" s="529"/>
    </row>
    <row r="12" spans="1:9" ht="20.100000000000001" customHeight="1">
      <c r="A12" s="644" t="s">
        <v>2312</v>
      </c>
      <c r="B12" s="1557"/>
      <c r="C12" s="457"/>
      <c r="D12" s="457"/>
      <c r="E12" s="457"/>
      <c r="F12" s="457"/>
      <c r="G12" s="457"/>
      <c r="H12" s="457"/>
      <c r="I12" s="529"/>
    </row>
    <row r="13" spans="1:9" ht="20.100000000000001" customHeight="1">
      <c r="A13" s="1558" t="s">
        <v>2313</v>
      </c>
      <c r="B13" s="1557"/>
      <c r="C13" s="1557"/>
      <c r="D13" s="1557"/>
      <c r="E13" s="1557"/>
      <c r="F13" s="1557"/>
      <c r="G13" s="1557"/>
      <c r="H13" s="1557"/>
      <c r="I13" s="1559"/>
    </row>
    <row r="14" spans="1:9" ht="20.100000000000001" customHeight="1">
      <c r="A14" s="464" t="s">
        <v>2314</v>
      </c>
      <c r="B14" s="1557"/>
      <c r="C14" s="457"/>
      <c r="D14" s="457"/>
      <c r="E14" s="457"/>
      <c r="F14" s="457"/>
      <c r="G14" s="457"/>
      <c r="H14" s="457"/>
      <c r="I14" s="529"/>
    </row>
    <row r="15" spans="1:9" ht="20.100000000000001" customHeight="1">
      <c r="A15" s="481" t="s">
        <v>2315</v>
      </c>
      <c r="B15" s="1560"/>
      <c r="C15" s="482">
        <f t="shared" ref="C15:I15" si="0">C14</f>
        <v>0</v>
      </c>
      <c r="D15" s="482">
        <f t="shared" si="0"/>
        <v>0</v>
      </c>
      <c r="E15" s="482">
        <f t="shared" si="0"/>
        <v>0</v>
      </c>
      <c r="F15" s="482">
        <f t="shared" si="0"/>
        <v>0</v>
      </c>
      <c r="G15" s="482">
        <f t="shared" si="0"/>
        <v>0</v>
      </c>
      <c r="H15" s="482">
        <f t="shared" si="0"/>
        <v>0</v>
      </c>
      <c r="I15" s="532">
        <f t="shared" si="0"/>
        <v>0</v>
      </c>
    </row>
    <row r="16" spans="1:9" ht="20.100000000000001" customHeight="1">
      <c r="A16" s="1561"/>
      <c r="B16" s="1561"/>
      <c r="C16" s="1561"/>
      <c r="D16" s="1561"/>
      <c r="E16" s="1561"/>
      <c r="F16" s="1561"/>
      <c r="G16" s="1561"/>
      <c r="H16" s="1561"/>
      <c r="I16" s="1561"/>
    </row>
    <row r="17" spans="1:64" ht="20.100000000000001" customHeight="1">
      <c r="A17" s="317"/>
      <c r="B17" s="317"/>
      <c r="C17" s="317"/>
      <c r="D17" s="317"/>
      <c r="E17" s="317"/>
      <c r="F17" s="317"/>
      <c r="G17" s="317"/>
      <c r="H17" s="317"/>
      <c r="I17" s="317"/>
      <c r="J17" s="1535"/>
      <c r="K17" s="1535"/>
      <c r="L17" s="1535"/>
      <c r="M17" s="1535"/>
      <c r="N17" s="1535"/>
      <c r="O17" s="1535"/>
      <c r="P17" s="1535"/>
      <c r="Q17" s="1535"/>
      <c r="R17" s="1535"/>
      <c r="S17" s="1535"/>
      <c r="T17" s="1535"/>
      <c r="U17" s="1535"/>
      <c r="V17" s="1535"/>
      <c r="W17" s="1535"/>
      <c r="X17" s="1535"/>
      <c r="Y17" s="1535"/>
      <c r="Z17" s="1535"/>
      <c r="AA17" s="1535"/>
      <c r="AB17" s="1535"/>
      <c r="AC17" s="1535"/>
      <c r="AD17" s="1535"/>
      <c r="AE17" s="1535"/>
      <c r="AF17" s="1535"/>
      <c r="AG17" s="1535"/>
      <c r="AH17" s="1535"/>
      <c r="AI17" s="1535"/>
      <c r="AJ17" s="1535"/>
      <c r="AK17" s="1535"/>
      <c r="AL17" s="1535"/>
      <c r="AM17" s="1535"/>
      <c r="AN17" s="1535"/>
      <c r="AO17" s="1535"/>
      <c r="AP17" s="1535"/>
      <c r="AQ17" s="1535"/>
      <c r="AR17" s="1535"/>
      <c r="AS17" s="1535"/>
      <c r="AT17" s="1535"/>
      <c r="AU17" s="1535"/>
      <c r="AV17" s="1535"/>
      <c r="AW17" s="1535"/>
      <c r="AX17" s="1535"/>
      <c r="AY17" s="1535"/>
      <c r="AZ17" s="1535"/>
      <c r="BA17" s="1535"/>
      <c r="BB17" s="1535"/>
      <c r="BC17" s="1535"/>
      <c r="BD17" s="1535"/>
      <c r="BE17" s="1535"/>
      <c r="BF17" s="1535"/>
      <c r="BG17" s="1535"/>
      <c r="BH17" s="1535"/>
      <c r="BI17" s="1535"/>
      <c r="BJ17" s="1535"/>
      <c r="BK17" s="1535"/>
      <c r="BL17" s="1535"/>
    </row>
    <row r="18" spans="1:64" ht="20.100000000000001" customHeight="1">
      <c r="A18" s="1562" t="s">
        <v>2316</v>
      </c>
      <c r="B18" s="1563"/>
      <c r="C18" s="1563"/>
      <c r="D18" s="1563"/>
      <c r="E18" s="1563"/>
      <c r="F18" s="1563"/>
      <c r="G18" s="1563"/>
      <c r="H18" s="1563"/>
      <c r="I18" s="1564"/>
      <c r="J18" s="1535"/>
      <c r="K18" s="1535"/>
      <c r="L18" s="1535"/>
      <c r="M18" s="1535"/>
      <c r="N18" s="1535"/>
      <c r="O18" s="1535"/>
      <c r="P18" s="1535"/>
      <c r="Q18" s="1535"/>
      <c r="R18" s="1535"/>
      <c r="S18" s="1535"/>
      <c r="T18" s="1535"/>
      <c r="U18" s="1535"/>
      <c r="V18" s="1535"/>
      <c r="W18" s="1535"/>
      <c r="X18" s="1535"/>
      <c r="Y18" s="1535"/>
      <c r="Z18" s="1535"/>
      <c r="AA18" s="1535"/>
      <c r="AB18" s="1535"/>
      <c r="AC18" s="1535"/>
      <c r="AD18" s="1535"/>
      <c r="AE18" s="1535"/>
      <c r="AF18" s="1535"/>
      <c r="AG18" s="1535"/>
      <c r="AH18" s="1535"/>
      <c r="AI18" s="1535"/>
      <c r="AJ18" s="1535"/>
      <c r="AK18" s="1535"/>
      <c r="AL18" s="1535"/>
      <c r="AM18" s="1535"/>
      <c r="AN18" s="1535"/>
      <c r="AO18" s="1535"/>
      <c r="AP18" s="1535"/>
      <c r="AQ18" s="1535"/>
      <c r="AR18" s="1535"/>
      <c r="AS18" s="1535"/>
      <c r="AT18" s="1535"/>
      <c r="AU18" s="1535"/>
      <c r="AV18" s="1535"/>
      <c r="AW18" s="1535"/>
      <c r="AX18" s="1535"/>
      <c r="AY18" s="1535"/>
      <c r="AZ18" s="1535"/>
      <c r="BA18" s="1535"/>
      <c r="BB18" s="1535"/>
      <c r="BC18" s="1535"/>
      <c r="BD18" s="1535"/>
      <c r="BE18" s="1535"/>
      <c r="BF18" s="1535"/>
      <c r="BG18" s="1535"/>
      <c r="BH18" s="1535"/>
      <c r="BI18" s="1535"/>
      <c r="BJ18" s="1535"/>
      <c r="BK18" s="1535"/>
      <c r="BL18" s="1535"/>
    </row>
    <row r="19" spans="1:64" ht="20.100000000000001" customHeight="1">
      <c r="A19" s="102" t="str">
        <f>A11</f>
        <v>Steuererstattung</v>
      </c>
      <c r="B19" s="421"/>
      <c r="C19" s="407">
        <f t="shared" ref="C19:I20" si="1">C11</f>
        <v>0</v>
      </c>
      <c r="D19" s="407">
        <f t="shared" si="1"/>
        <v>0</v>
      </c>
      <c r="E19" s="407">
        <f t="shared" si="1"/>
        <v>0</v>
      </c>
      <c r="F19" s="407">
        <f t="shared" si="1"/>
        <v>0</v>
      </c>
      <c r="G19" s="407">
        <f t="shared" si="1"/>
        <v>0</v>
      </c>
      <c r="H19" s="407">
        <f t="shared" si="1"/>
        <v>0</v>
      </c>
      <c r="I19" s="1565">
        <f t="shared" si="1"/>
        <v>0</v>
      </c>
      <c r="J19" s="1535"/>
      <c r="K19" s="1535"/>
      <c r="L19" s="1535"/>
      <c r="M19" s="1535"/>
      <c r="N19" s="1535"/>
      <c r="O19" s="1535"/>
      <c r="P19" s="1535"/>
      <c r="Q19" s="1535"/>
      <c r="R19" s="1535"/>
      <c r="S19" s="1535"/>
      <c r="T19" s="1535"/>
      <c r="U19" s="1535"/>
      <c r="V19" s="1535"/>
      <c r="W19" s="1535"/>
      <c r="X19" s="1535"/>
      <c r="Y19" s="1535"/>
      <c r="Z19" s="1535"/>
      <c r="AA19" s="1535"/>
      <c r="AB19" s="1535"/>
      <c r="AC19" s="1535"/>
      <c r="AD19" s="1535"/>
      <c r="AE19" s="1535"/>
      <c r="AF19" s="1535"/>
      <c r="AG19" s="1535"/>
      <c r="AH19" s="1535"/>
      <c r="AI19" s="1535"/>
      <c r="AJ19" s="1535"/>
      <c r="AK19" s="1535"/>
      <c r="AL19" s="1535"/>
      <c r="AM19" s="1535"/>
      <c r="AN19" s="1535"/>
      <c r="AO19" s="1535"/>
      <c r="AP19" s="1535"/>
      <c r="AQ19" s="1535"/>
      <c r="AR19" s="1535"/>
      <c r="AS19" s="1535"/>
      <c r="AT19" s="1535"/>
      <c r="AU19" s="1535"/>
      <c r="AV19" s="1535"/>
      <c r="AW19" s="1535"/>
      <c r="AX19" s="1535"/>
      <c r="AY19" s="1535"/>
      <c r="AZ19" s="1535"/>
      <c r="BA19" s="1535"/>
      <c r="BB19" s="1535"/>
      <c r="BC19" s="1535"/>
      <c r="BD19" s="1535"/>
      <c r="BE19" s="1535"/>
      <c r="BF19" s="1535"/>
      <c r="BG19" s="1535"/>
      <c r="BH19" s="1535"/>
      <c r="BI19" s="1535"/>
      <c r="BJ19" s="1535"/>
      <c r="BK19" s="1535"/>
      <c r="BL19" s="1535"/>
    </row>
    <row r="20" spans="1:64" ht="20.100000000000001" customHeight="1">
      <c r="A20" s="1566" t="s">
        <v>2317</v>
      </c>
      <c r="B20" s="1567"/>
      <c r="C20" s="1568">
        <f t="shared" si="1"/>
        <v>0</v>
      </c>
      <c r="D20" s="1568">
        <f t="shared" si="1"/>
        <v>0</v>
      </c>
      <c r="E20" s="1568">
        <f t="shared" si="1"/>
        <v>0</v>
      </c>
      <c r="F20" s="1568">
        <f t="shared" si="1"/>
        <v>0</v>
      </c>
      <c r="G20" s="1568">
        <f t="shared" si="1"/>
        <v>0</v>
      </c>
      <c r="H20" s="1568">
        <f t="shared" si="1"/>
        <v>0</v>
      </c>
      <c r="I20" s="1569">
        <f t="shared" si="1"/>
        <v>0</v>
      </c>
      <c r="J20" s="1535"/>
      <c r="K20" s="1535"/>
      <c r="L20" s="1535"/>
      <c r="M20" s="1535"/>
      <c r="N20" s="1535"/>
      <c r="O20" s="1535"/>
      <c r="P20" s="1535"/>
      <c r="Q20" s="1535"/>
      <c r="R20" s="1535"/>
      <c r="S20" s="1535"/>
      <c r="T20" s="1535"/>
      <c r="U20" s="1535"/>
      <c r="V20" s="1535"/>
      <c r="W20" s="1535"/>
      <c r="X20" s="1535"/>
      <c r="Y20" s="1535"/>
      <c r="Z20" s="1535"/>
      <c r="AA20" s="1535"/>
      <c r="AB20" s="1535"/>
      <c r="AC20" s="1535"/>
      <c r="AD20" s="1535"/>
      <c r="AE20" s="1535"/>
      <c r="AF20" s="1535"/>
      <c r="AG20" s="1535"/>
      <c r="AH20" s="1535"/>
      <c r="AI20" s="1535"/>
      <c r="AJ20" s="1535"/>
      <c r="AK20" s="1535"/>
      <c r="AL20" s="1535"/>
      <c r="AM20" s="1535"/>
      <c r="AN20" s="1535"/>
      <c r="AO20" s="1535"/>
      <c r="AP20" s="1535"/>
      <c r="AQ20" s="1535"/>
      <c r="AR20" s="1535"/>
      <c r="AS20" s="1535"/>
      <c r="AT20" s="1535"/>
      <c r="AU20" s="1535"/>
      <c r="AV20" s="1535"/>
      <c r="AW20" s="1535"/>
      <c r="AX20" s="1535"/>
      <c r="AY20" s="1535"/>
      <c r="AZ20" s="1535"/>
      <c r="BA20" s="1535"/>
      <c r="BB20" s="1535"/>
      <c r="BC20" s="1535"/>
      <c r="BD20" s="1535"/>
      <c r="BE20" s="1535"/>
      <c r="BF20" s="1535"/>
      <c r="BG20" s="1535"/>
      <c r="BH20" s="1535"/>
      <c r="BI20" s="1535"/>
      <c r="BJ20" s="1535"/>
      <c r="BK20" s="1535"/>
      <c r="BL20" s="1535"/>
    </row>
    <row r="21" spans="1:64" ht="20.100000000000001" customHeight="1">
      <c r="A21" s="401" t="s">
        <v>2318</v>
      </c>
      <c r="B21" s="1570"/>
      <c r="C21" s="928">
        <f t="shared" ref="C21:I21" si="2">C19-C20</f>
        <v>0</v>
      </c>
      <c r="D21" s="928">
        <f t="shared" si="2"/>
        <v>0</v>
      </c>
      <c r="E21" s="928">
        <f t="shared" si="2"/>
        <v>0</v>
      </c>
      <c r="F21" s="928">
        <f t="shared" si="2"/>
        <v>0</v>
      </c>
      <c r="G21" s="928">
        <f t="shared" si="2"/>
        <v>0</v>
      </c>
      <c r="H21" s="928">
        <f t="shared" si="2"/>
        <v>0</v>
      </c>
      <c r="I21" s="929">
        <f t="shared" si="2"/>
        <v>0</v>
      </c>
    </row>
    <row r="22" spans="1:64" ht="20.100000000000001" customHeight="1">
      <c r="A22" s="1571" t="str">
        <f>IF('Berechnung mit Einmalzahlung'!A74=0,"Betrag ist nicht auf 6 Monate aufzuteilen","auf 6 Monate verteilen")</f>
        <v>Betrag ist nicht auf 6 Monate aufzuteilen</v>
      </c>
      <c r="B22" s="1572"/>
      <c r="C22" s="1573">
        <f>'Berechnung mit Einmalzahlung'!C73</f>
        <v>0</v>
      </c>
      <c r="D22" s="1573">
        <f>'Berechnung mit Einmalzahlung'!D73</f>
        <v>0</v>
      </c>
      <c r="E22" s="1573">
        <f>'Berechnung mit Einmalzahlung'!E73</f>
        <v>0</v>
      </c>
      <c r="F22" s="1573">
        <f>'Berechnung mit Einmalzahlung'!F73</f>
        <v>0</v>
      </c>
      <c r="G22" s="1573">
        <f>'Berechnung mit Einmalzahlung'!G73</f>
        <v>0</v>
      </c>
      <c r="H22" s="1573">
        <f>'Berechnung mit Einmalzahlung'!H73</f>
        <v>0</v>
      </c>
      <c r="I22" s="1574">
        <f>'Berechnung mit Einmalzahlung'!I73</f>
        <v>0</v>
      </c>
    </row>
    <row r="23" spans="1:64" ht="20.100000000000001" customHeight="1">
      <c r="A23" s="1575"/>
      <c r="B23" s="393"/>
      <c r="C23" s="393"/>
      <c r="D23" s="393"/>
      <c r="E23" s="393"/>
      <c r="F23" s="393"/>
      <c r="G23" s="393"/>
      <c r="H23" s="393"/>
      <c r="I23" s="461"/>
    </row>
    <row r="24" spans="1:64" ht="20.100000000000001" customHeight="1">
      <c r="A24" s="102" t="str">
        <f>A15</f>
        <v>Weihnachtsgeld netto</v>
      </c>
      <c r="B24" s="421"/>
      <c r="C24" s="407">
        <f t="shared" ref="C24:I24" si="3">C15</f>
        <v>0</v>
      </c>
      <c r="D24" s="407">
        <f t="shared" si="3"/>
        <v>0</v>
      </c>
      <c r="E24" s="407">
        <f t="shared" si="3"/>
        <v>0</v>
      </c>
      <c r="F24" s="407">
        <f t="shared" si="3"/>
        <v>0</v>
      </c>
      <c r="G24" s="407">
        <f t="shared" si="3"/>
        <v>0</v>
      </c>
      <c r="H24" s="407">
        <f t="shared" si="3"/>
        <v>0</v>
      </c>
      <c r="I24" s="1565">
        <f t="shared" si="3"/>
        <v>0</v>
      </c>
    </row>
    <row r="25" spans="1:64" ht="20.100000000000001" customHeight="1">
      <c r="A25" s="1576" t="str">
        <f>IF('Berechnung mit Einmalzahlung'!A60=0,"Betrag ist nicht auf 6 Monate aufzuteilen","auf 6 Monate verteilen")</f>
        <v>Betrag ist nicht auf 6 Monate aufzuteilen</v>
      </c>
      <c r="B25" s="421"/>
      <c r="C25" s="421"/>
      <c r="D25" s="421"/>
      <c r="E25" s="421"/>
      <c r="F25" s="421"/>
      <c r="G25" s="421"/>
      <c r="H25" s="421"/>
      <c r="I25" s="1577"/>
    </row>
    <row r="26" spans="1:64" ht="20.100000000000001" customHeight="1">
      <c r="A26" s="303">
        <f>IF($A$25="auf 6 Monate verteilen","./. Freibetrag § 11b (3) auf Einmalzahlung",0)</f>
        <v>0</v>
      </c>
      <c r="B26" s="421"/>
      <c r="C26" s="407">
        <f>IF($A$25&gt;0,'Berechnung mit Einmalzahlung'!H206,0)</f>
        <v>0</v>
      </c>
      <c r="D26" s="407">
        <f>IF($A$25&gt;0,'Berechnung mit Einmalzahlung'!H212,0)</f>
        <v>0</v>
      </c>
      <c r="E26" s="407">
        <f>IF($A$25&gt;0,'Berechnung mit Einmalzahlung'!H218,0)</f>
        <v>0</v>
      </c>
      <c r="F26" s="407">
        <f>IF($A$25&gt;0,'Berechnung mit Einmalzahlung'!H224,0)</f>
        <v>0</v>
      </c>
      <c r="G26" s="407">
        <f>IF($A$25&gt;0,'Berechnung mit Einmalzahlung'!H230,0)</f>
        <v>0</v>
      </c>
      <c r="H26" s="407">
        <f>IF($A$25&gt;0,'Berechnung mit Einmalzahlung'!H236,0)</f>
        <v>0</v>
      </c>
      <c r="I26" s="1565">
        <f>IF($A$25&gt;0,'Berechnung mit Einmalzahlung'!H242,0)</f>
        <v>0</v>
      </c>
    </row>
    <row r="27" spans="1:64" ht="20.100000000000001" customHeight="1">
      <c r="A27" s="303">
        <f>IF($A$25="auf 6 Monate verteilen","verbleiben",0)</f>
        <v>0</v>
      </c>
      <c r="B27" s="421"/>
      <c r="C27" s="407">
        <f t="shared" ref="C27:I27" si="4">IF($A$26&gt;0,C24-C26,0)</f>
        <v>0</v>
      </c>
      <c r="D27" s="407">
        <f t="shared" si="4"/>
        <v>0</v>
      </c>
      <c r="E27" s="407">
        <f t="shared" si="4"/>
        <v>0</v>
      </c>
      <c r="F27" s="407">
        <f t="shared" si="4"/>
        <v>0</v>
      </c>
      <c r="G27" s="407">
        <f t="shared" si="4"/>
        <v>0</v>
      </c>
      <c r="H27" s="407">
        <f t="shared" si="4"/>
        <v>0</v>
      </c>
      <c r="I27" s="1565">
        <f t="shared" si="4"/>
        <v>0</v>
      </c>
    </row>
    <row r="28" spans="1:64" ht="20.100000000000001" customHeight="1">
      <c r="A28" s="537">
        <f>IF($A$25="auf 6 Monate verteilen",": 6 Monate",0)</f>
        <v>0</v>
      </c>
      <c r="B28" s="1572"/>
      <c r="C28" s="1578">
        <f t="shared" ref="C28:I28" si="5">C27/6</f>
        <v>0</v>
      </c>
      <c r="D28" s="1578">
        <f t="shared" si="5"/>
        <v>0</v>
      </c>
      <c r="E28" s="1578">
        <f t="shared" si="5"/>
        <v>0</v>
      </c>
      <c r="F28" s="1578">
        <f t="shared" si="5"/>
        <v>0</v>
      </c>
      <c r="G28" s="1578">
        <f t="shared" si="5"/>
        <v>0</v>
      </c>
      <c r="H28" s="1578">
        <f t="shared" si="5"/>
        <v>0</v>
      </c>
      <c r="I28" s="1579">
        <f t="shared" si="5"/>
        <v>0</v>
      </c>
    </row>
    <row r="29" spans="1:64" ht="20.100000000000001" customHeight="1">
      <c r="A29" s="1580" t="s">
        <v>2319</v>
      </c>
      <c r="B29" s="317"/>
      <c r="C29" s="317"/>
      <c r="D29" s="317"/>
      <c r="E29" s="317"/>
      <c r="F29" s="317"/>
      <c r="G29" s="317"/>
      <c r="H29" s="317"/>
      <c r="I29" s="317"/>
    </row>
    <row r="30" spans="1:64" ht="20.100000000000001" customHeight="1">
      <c r="A30" s="317"/>
      <c r="B30" s="317"/>
      <c r="C30" s="317"/>
      <c r="D30" s="317"/>
      <c r="E30" s="317"/>
      <c r="F30" s="317"/>
      <c r="G30" s="317"/>
      <c r="H30" s="317"/>
      <c r="I30" s="317"/>
    </row>
    <row r="31" spans="1:64" ht="20.100000000000001" customHeight="1">
      <c r="A31" s="317"/>
      <c r="B31" s="317"/>
      <c r="C31" s="317"/>
      <c r="D31" s="317"/>
      <c r="E31" s="317"/>
      <c r="F31" s="317"/>
      <c r="G31" s="317"/>
      <c r="H31" s="317"/>
      <c r="I31" s="317"/>
    </row>
    <row r="32" spans="1:64" ht="24.95" customHeight="1">
      <c r="A32" s="1996" t="s">
        <v>2320</v>
      </c>
      <c r="B32" s="1996"/>
      <c r="C32" s="1996"/>
      <c r="D32" s="1996"/>
      <c r="E32" s="1996"/>
      <c r="F32" s="1996"/>
      <c r="G32" s="1996"/>
      <c r="H32" s="1996"/>
      <c r="I32" s="1996"/>
    </row>
    <row r="33" spans="1:9" ht="20.100000000000001" customHeight="1">
      <c r="A33" s="1581"/>
      <c r="B33" s="1561"/>
      <c r="C33" s="1561"/>
      <c r="D33" s="1561"/>
      <c r="E33" s="1561"/>
      <c r="F33" s="1561"/>
      <c r="G33" s="1561"/>
      <c r="H33" s="1561"/>
      <c r="I33" s="1582"/>
    </row>
    <row r="34" spans="1:9" ht="20.100000000000001" customHeight="1">
      <c r="A34" s="1583"/>
      <c r="B34" s="1584"/>
      <c r="C34" s="847" t="str">
        <f>Zusatzeingaben!C4</f>
        <v>Antragsteller</v>
      </c>
      <c r="D34" s="847" t="str">
        <f>Zusatzeingaben!D4</f>
        <v>Partner(in)</v>
      </c>
      <c r="E34" s="847" t="str">
        <f>Zusatzeingaben!E4</f>
        <v>Kind 1</v>
      </c>
      <c r="F34" s="847" t="s">
        <v>145</v>
      </c>
      <c r="G34" s="847" t="s">
        <v>146</v>
      </c>
      <c r="H34" s="847" t="s">
        <v>147</v>
      </c>
      <c r="I34" s="848" t="s">
        <v>148</v>
      </c>
    </row>
    <row r="35" spans="1:9" ht="20.100000000000001" customHeight="1">
      <c r="A35" s="863" t="s">
        <v>2167</v>
      </c>
      <c r="B35" s="45"/>
      <c r="C35" s="457"/>
      <c r="D35" s="457"/>
      <c r="E35" s="457"/>
      <c r="F35" s="457"/>
      <c r="G35" s="457"/>
      <c r="H35" s="457"/>
      <c r="I35" s="529"/>
    </row>
    <row r="36" spans="1:9" ht="20.100000000000001" customHeight="1">
      <c r="A36" s="863" t="s">
        <v>2321</v>
      </c>
      <c r="B36" s="45"/>
      <c r="C36" s="457">
        <f t="shared" ref="C36:I36" si="6">C35</f>
        <v>0</v>
      </c>
      <c r="D36" s="457">
        <f t="shared" si="6"/>
        <v>0</v>
      </c>
      <c r="E36" s="457">
        <f t="shared" si="6"/>
        <v>0</v>
      </c>
      <c r="F36" s="457">
        <f t="shared" si="6"/>
        <v>0</v>
      </c>
      <c r="G36" s="457">
        <f t="shared" si="6"/>
        <v>0</v>
      </c>
      <c r="H36" s="457">
        <f t="shared" si="6"/>
        <v>0</v>
      </c>
      <c r="I36" s="529">
        <f t="shared" si="6"/>
        <v>0</v>
      </c>
    </row>
    <row r="37" spans="1:9" ht="20.100000000000001" customHeight="1">
      <c r="A37" s="863" t="s">
        <v>2322</v>
      </c>
      <c r="B37" s="45"/>
      <c r="C37" s="1016">
        <f t="shared" ref="C37:I37" si="7">IF(C36&lt;100,C36,100)</f>
        <v>0</v>
      </c>
      <c r="D37" s="1016">
        <f t="shared" si="7"/>
        <v>0</v>
      </c>
      <c r="E37" s="1016">
        <f t="shared" si="7"/>
        <v>0</v>
      </c>
      <c r="F37" s="1016">
        <f t="shared" si="7"/>
        <v>0</v>
      </c>
      <c r="G37" s="1016">
        <f t="shared" si="7"/>
        <v>0</v>
      </c>
      <c r="H37" s="1016">
        <f t="shared" si="7"/>
        <v>0</v>
      </c>
      <c r="I37" s="1017">
        <f t="shared" si="7"/>
        <v>0</v>
      </c>
    </row>
    <row r="38" spans="1:9" ht="20.100000000000001" customHeight="1">
      <c r="A38" s="1585" t="s">
        <v>2323</v>
      </c>
      <c r="B38" s="1586"/>
      <c r="C38" s="1227">
        <f>'Berechnung mit Einmalzahlung'!B301</f>
        <v>0</v>
      </c>
      <c r="D38" s="1227">
        <f>'Berechnung mit Einmalzahlung'!C301</f>
        <v>0</v>
      </c>
      <c r="E38" s="1227">
        <f>'Berechnung mit Einmalzahlung'!D301</f>
        <v>0</v>
      </c>
      <c r="F38" s="1227">
        <f>'Berechnung mit Einmalzahlung'!E301</f>
        <v>0</v>
      </c>
      <c r="G38" s="1227">
        <f>'Berechnung mit Einmalzahlung'!F301</f>
        <v>0</v>
      </c>
      <c r="H38" s="1227">
        <f>'Berechnung mit Einmalzahlung'!G301</f>
        <v>0</v>
      </c>
      <c r="I38" s="1228">
        <f>'Berechnung mit Einmalzahlung'!H301</f>
        <v>0</v>
      </c>
    </row>
    <row r="39" spans="1:9" ht="24.95" customHeight="1">
      <c r="A39" s="1587" t="s">
        <v>2324</v>
      </c>
      <c r="B39" s="1588"/>
      <c r="C39" s="1589">
        <f t="shared" ref="C39:I39" si="8">C36-C37-C38</f>
        <v>0</v>
      </c>
      <c r="D39" s="1589">
        <f t="shared" si="8"/>
        <v>0</v>
      </c>
      <c r="E39" s="1589">
        <f t="shared" si="8"/>
        <v>0</v>
      </c>
      <c r="F39" s="1589">
        <f t="shared" si="8"/>
        <v>0</v>
      </c>
      <c r="G39" s="1589">
        <f t="shared" si="8"/>
        <v>0</v>
      </c>
      <c r="H39" s="1589">
        <f t="shared" si="8"/>
        <v>0</v>
      </c>
      <c r="I39" s="1590">
        <f t="shared" si="8"/>
        <v>0</v>
      </c>
    </row>
    <row r="40" spans="1:9" ht="20.100000000000001" customHeight="1">
      <c r="A40" s="1591"/>
      <c r="B40" s="1591"/>
      <c r="C40" s="1591"/>
      <c r="D40" s="1591"/>
      <c r="E40" s="1591"/>
      <c r="F40" s="1591"/>
      <c r="G40" s="1591"/>
      <c r="H40" s="1591"/>
      <c r="I40" s="1591"/>
    </row>
    <row r="41" spans="1:9" ht="20.100000000000001" customHeight="1">
      <c r="A41" s="1591"/>
      <c r="B41" s="1591"/>
      <c r="C41" s="1591"/>
      <c r="D41" s="1591"/>
      <c r="E41" s="1591"/>
      <c r="F41" s="1591"/>
      <c r="G41" s="1591"/>
      <c r="H41" s="1591"/>
      <c r="I41" s="1591"/>
    </row>
    <row r="42" spans="1:9" ht="20.100000000000001" customHeight="1">
      <c r="A42" s="1591"/>
      <c r="B42" s="1591"/>
      <c r="C42" s="1591"/>
      <c r="D42" s="1591"/>
      <c r="E42" s="1591"/>
      <c r="F42" s="1591"/>
      <c r="G42" s="1591"/>
      <c r="H42" s="1591"/>
      <c r="I42" s="1591"/>
    </row>
    <row r="43" spans="1:9" ht="20.100000000000001" customHeight="1">
      <c r="A43" s="1591"/>
      <c r="B43" s="1591"/>
      <c r="C43" s="1591"/>
      <c r="D43" s="1591"/>
      <c r="E43" s="1591"/>
      <c r="F43" s="1591"/>
      <c r="G43" s="1591"/>
      <c r="H43" s="1591"/>
      <c r="I43" s="1591"/>
    </row>
    <row r="44" spans="1:9" ht="20.100000000000001" customHeight="1">
      <c r="A44" s="1591"/>
      <c r="B44" s="1591"/>
      <c r="C44" s="1591"/>
      <c r="D44" s="1591"/>
      <c r="E44" s="1591"/>
      <c r="F44" s="1591"/>
      <c r="G44" s="1591"/>
      <c r="H44" s="1591"/>
      <c r="I44" s="1591"/>
    </row>
    <row r="45" spans="1:9" ht="20.100000000000001" customHeight="1">
      <c r="A45" s="1591"/>
      <c r="B45" s="1591"/>
      <c r="C45" s="1591"/>
      <c r="D45" s="1591"/>
      <c r="E45" s="1591"/>
      <c r="F45" s="1591"/>
      <c r="G45" s="1591"/>
      <c r="H45" s="1591"/>
      <c r="I45" s="1591"/>
    </row>
    <row r="46" spans="1:9" ht="20.100000000000001" customHeight="1">
      <c r="A46" s="1591"/>
      <c r="B46" s="1591"/>
      <c r="C46" s="1591"/>
      <c r="D46" s="1591"/>
      <c r="E46" s="1591"/>
      <c r="F46" s="1591"/>
      <c r="G46" s="1591"/>
      <c r="H46" s="1591"/>
      <c r="I46" s="1591"/>
    </row>
    <row r="47" spans="1:9" ht="20.100000000000001" customHeight="1">
      <c r="A47" s="1591"/>
      <c r="B47" s="1591"/>
      <c r="C47" s="1591"/>
      <c r="D47" s="1591"/>
      <c r="E47" s="1591"/>
      <c r="F47" s="1591"/>
      <c r="G47" s="1591"/>
      <c r="H47" s="1591"/>
      <c r="I47" s="1591"/>
    </row>
    <row r="48" spans="1:9" ht="20.100000000000001" customHeight="1">
      <c r="A48" s="1591"/>
      <c r="B48" s="1591"/>
      <c r="C48" s="1591"/>
      <c r="D48" s="1591"/>
      <c r="E48" s="1591"/>
      <c r="F48" s="1591"/>
      <c r="G48" s="1591"/>
      <c r="H48" s="1591"/>
      <c r="I48" s="1591"/>
    </row>
    <row r="49" spans="1:9" ht="20.100000000000001" customHeight="1">
      <c r="A49" s="1591"/>
      <c r="B49" s="1591"/>
      <c r="C49" s="1591"/>
      <c r="D49" s="1591"/>
      <c r="E49" s="1591"/>
      <c r="F49" s="1591"/>
      <c r="G49" s="1591"/>
      <c r="H49" s="1591"/>
      <c r="I49" s="1591"/>
    </row>
    <row r="50" spans="1:9" ht="20.100000000000001" customHeight="1">
      <c r="A50" s="1591"/>
      <c r="B50" s="1591"/>
      <c r="C50" s="1591"/>
      <c r="D50" s="1591"/>
      <c r="E50" s="1591"/>
      <c r="F50" s="1591"/>
      <c r="G50" s="1591"/>
      <c r="H50" s="1591"/>
      <c r="I50" s="1591"/>
    </row>
    <row r="51" spans="1:9" ht="20.100000000000001" customHeight="1">
      <c r="A51" s="1591"/>
      <c r="B51" s="1591"/>
      <c r="C51" s="1591"/>
      <c r="D51" s="1591"/>
      <c r="E51" s="1591"/>
      <c r="F51" s="1591"/>
      <c r="G51" s="1591"/>
      <c r="H51" s="1591"/>
      <c r="I51" s="1591"/>
    </row>
    <row r="52" spans="1:9" ht="20.100000000000001" customHeight="1">
      <c r="A52" s="1591"/>
      <c r="B52" s="1591"/>
      <c r="C52" s="1591"/>
      <c r="D52" s="1591"/>
      <c r="E52" s="1591"/>
      <c r="F52" s="1591"/>
      <c r="G52" s="1591"/>
      <c r="H52" s="1591"/>
      <c r="I52" s="1591"/>
    </row>
    <row r="53" spans="1:9" ht="20.100000000000001" customHeight="1">
      <c r="A53" s="1591"/>
      <c r="B53" s="1591"/>
      <c r="C53" s="1591"/>
      <c r="D53" s="1591"/>
      <c r="E53" s="1591"/>
      <c r="F53" s="1591"/>
      <c r="G53" s="1591"/>
      <c r="H53" s="1591"/>
      <c r="I53" s="1591"/>
    </row>
    <row r="54" spans="1:9" ht="20.100000000000001" customHeight="1">
      <c r="A54" s="1591"/>
      <c r="B54" s="1591"/>
      <c r="C54" s="1591"/>
      <c r="D54" s="1591"/>
      <c r="E54" s="1591"/>
      <c r="F54" s="1591"/>
      <c r="G54" s="1591"/>
      <c r="H54" s="1591"/>
      <c r="I54" s="1591"/>
    </row>
    <row r="55" spans="1:9" ht="20.100000000000001" customHeight="1">
      <c r="A55" s="1591"/>
      <c r="B55" s="1591"/>
      <c r="C55" s="1591"/>
      <c r="D55" s="1591"/>
      <c r="E55" s="1591"/>
      <c r="F55" s="1591"/>
      <c r="G55" s="1591"/>
      <c r="H55" s="1591"/>
      <c r="I55" s="1591"/>
    </row>
    <row r="56" spans="1:9" ht="20.100000000000001" customHeight="1">
      <c r="A56" s="1591"/>
      <c r="B56" s="1591"/>
      <c r="C56" s="1591"/>
      <c r="D56" s="1591"/>
      <c r="E56" s="1591"/>
      <c r="F56" s="1591"/>
      <c r="G56" s="1591"/>
      <c r="H56" s="1591"/>
      <c r="I56" s="1591"/>
    </row>
    <row r="57" spans="1:9" ht="20.100000000000001" customHeight="1">
      <c r="A57" s="1591"/>
      <c r="B57" s="1591"/>
      <c r="C57" s="1591"/>
      <c r="D57" s="1591"/>
      <c r="E57" s="1591"/>
      <c r="F57" s="1591"/>
      <c r="G57" s="1591"/>
      <c r="H57" s="1591"/>
      <c r="I57" s="1591"/>
    </row>
    <row r="58" spans="1:9" ht="20.100000000000001" customHeight="1">
      <c r="A58" s="1591"/>
      <c r="B58" s="1591"/>
      <c r="C58" s="1591"/>
      <c r="D58" s="1591"/>
      <c r="E58" s="1591"/>
      <c r="F58" s="1591"/>
      <c r="G58" s="1591"/>
      <c r="H58" s="1591"/>
      <c r="I58" s="1591"/>
    </row>
    <row r="59" spans="1:9" ht="20.100000000000001" customHeight="1">
      <c r="A59" s="1591"/>
      <c r="B59" s="1591"/>
      <c r="C59" s="1591"/>
      <c r="D59" s="1591"/>
      <c r="E59" s="1591"/>
      <c r="F59" s="1591"/>
      <c r="G59" s="1591"/>
      <c r="H59" s="1591"/>
      <c r="I59" s="1591"/>
    </row>
    <row r="60" spans="1:9" ht="20.100000000000001" customHeight="1">
      <c r="A60" s="1591"/>
      <c r="B60" s="1591"/>
      <c r="C60" s="1591"/>
      <c r="D60" s="1591"/>
      <c r="E60" s="1591"/>
      <c r="F60" s="1591"/>
      <c r="G60" s="1591"/>
      <c r="H60" s="1591"/>
      <c r="I60" s="1591"/>
    </row>
    <row r="61" spans="1:9" ht="20.100000000000001" customHeight="1">
      <c r="A61" s="1591"/>
      <c r="B61" s="1591"/>
      <c r="C61" s="1591"/>
      <c r="D61" s="1591"/>
      <c r="E61" s="1591"/>
      <c r="F61" s="1591"/>
      <c r="G61" s="1591"/>
      <c r="H61" s="1591"/>
      <c r="I61" s="1591"/>
    </row>
    <row r="62" spans="1:9" ht="20.100000000000001" customHeight="1">
      <c r="A62" s="1591"/>
      <c r="B62" s="1591"/>
      <c r="C62" s="1591"/>
      <c r="D62" s="1591"/>
      <c r="E62" s="1591"/>
      <c r="F62" s="1591"/>
      <c r="G62" s="1591"/>
      <c r="H62" s="1591"/>
      <c r="I62" s="1591"/>
    </row>
    <row r="63" spans="1:9" ht="20.100000000000001" customHeight="1">
      <c r="A63" s="1591"/>
      <c r="B63" s="1591"/>
      <c r="C63" s="1591"/>
      <c r="D63" s="1591"/>
      <c r="E63" s="1591"/>
      <c r="F63" s="1591"/>
      <c r="G63" s="1591"/>
      <c r="H63" s="1591"/>
      <c r="I63" s="1591"/>
    </row>
    <row r="64" spans="1:9" ht="20.100000000000001" customHeight="1">
      <c r="A64" s="1591"/>
      <c r="B64" s="1591"/>
      <c r="C64" s="1591"/>
      <c r="D64" s="1591"/>
      <c r="E64" s="1591"/>
      <c r="F64" s="1591"/>
      <c r="G64" s="1591"/>
      <c r="H64" s="1591"/>
      <c r="I64" s="1591"/>
    </row>
    <row r="65" spans="1:9" ht="20.100000000000001" customHeight="1">
      <c r="A65" s="1591"/>
      <c r="B65" s="1591"/>
      <c r="C65" s="1591"/>
      <c r="D65" s="1591"/>
      <c r="E65" s="1591"/>
      <c r="F65" s="1591"/>
      <c r="G65" s="1591"/>
      <c r="H65" s="1591"/>
      <c r="I65" s="1591"/>
    </row>
    <row r="66" spans="1:9" ht="20.100000000000001" customHeight="1">
      <c r="A66" s="1591"/>
      <c r="B66" s="1591"/>
      <c r="C66" s="1591"/>
      <c r="D66" s="1591"/>
      <c r="E66" s="1591"/>
      <c r="F66" s="1591"/>
      <c r="G66" s="1591"/>
      <c r="H66" s="1591"/>
      <c r="I66" s="1591"/>
    </row>
    <row r="67" spans="1:9" ht="20.100000000000001" customHeight="1">
      <c r="A67" s="1591"/>
      <c r="B67" s="1591"/>
      <c r="C67" s="1591"/>
      <c r="D67" s="1591"/>
      <c r="E67" s="1591"/>
      <c r="F67" s="1591"/>
      <c r="G67" s="1591"/>
      <c r="H67" s="1591"/>
      <c r="I67" s="1591"/>
    </row>
    <row r="68" spans="1:9" ht="20.100000000000001" customHeight="1">
      <c r="A68" s="1591"/>
      <c r="B68" s="1591"/>
      <c r="C68" s="1591"/>
      <c r="D68" s="1591"/>
      <c r="E68" s="1591"/>
      <c r="F68" s="1591"/>
      <c r="G68" s="1591"/>
      <c r="H68" s="1591"/>
      <c r="I68" s="1591"/>
    </row>
    <row r="69" spans="1:9" ht="20.100000000000001" customHeight="1">
      <c r="A69" s="1591"/>
      <c r="B69" s="1591"/>
      <c r="C69" s="1591"/>
      <c r="D69" s="1591"/>
      <c r="E69" s="1591"/>
      <c r="F69" s="1591"/>
      <c r="G69" s="1591"/>
      <c r="H69" s="1591"/>
      <c r="I69" s="1591"/>
    </row>
    <row r="70" spans="1:9" ht="20.100000000000001" customHeight="1">
      <c r="A70" s="1591"/>
      <c r="B70" s="1591"/>
      <c r="C70" s="1591"/>
      <c r="D70" s="1591"/>
      <c r="E70" s="1591"/>
      <c r="F70" s="1591"/>
      <c r="G70" s="1591"/>
      <c r="H70" s="1591"/>
      <c r="I70" s="1591"/>
    </row>
    <row r="71" spans="1:9" ht="20.100000000000001" customHeight="1">
      <c r="A71" s="1591"/>
      <c r="B71" s="1591"/>
      <c r="C71" s="1591"/>
      <c r="D71" s="1591"/>
      <c r="E71" s="1591"/>
      <c r="F71" s="1591"/>
      <c r="G71" s="1591"/>
      <c r="H71" s="1591"/>
      <c r="I71" s="1591"/>
    </row>
    <row r="72" spans="1:9" ht="20.100000000000001" customHeight="1">
      <c r="A72" s="1591"/>
      <c r="B72" s="1591"/>
      <c r="C72" s="1591"/>
      <c r="D72" s="1591"/>
      <c r="E72" s="1591"/>
      <c r="F72" s="1591"/>
      <c r="G72" s="1591"/>
      <c r="H72" s="1591"/>
      <c r="I72" s="1591"/>
    </row>
    <row r="73" spans="1:9" ht="20.100000000000001" customHeight="1">
      <c r="A73" s="1591"/>
      <c r="B73" s="1591"/>
      <c r="C73" s="1591"/>
      <c r="D73" s="1591"/>
      <c r="E73" s="1591"/>
      <c r="F73" s="1591"/>
      <c r="G73" s="1591"/>
      <c r="H73" s="1591"/>
      <c r="I73" s="1591"/>
    </row>
    <row r="74" spans="1:9" ht="20.100000000000001" customHeight="1">
      <c r="A74" s="1591"/>
      <c r="B74" s="1591"/>
      <c r="C74" s="1591"/>
      <c r="D74" s="1591"/>
      <c r="E74" s="1591"/>
      <c r="F74" s="1591"/>
      <c r="G74" s="1591"/>
      <c r="H74" s="1591"/>
      <c r="I74" s="1591"/>
    </row>
    <row r="75" spans="1:9" ht="20.100000000000001" customHeight="1">
      <c r="A75" s="1591"/>
      <c r="B75" s="1591"/>
      <c r="C75" s="1591"/>
      <c r="D75" s="1591"/>
      <c r="E75" s="1591"/>
      <c r="F75" s="1591"/>
      <c r="G75" s="1591"/>
      <c r="H75" s="1591"/>
      <c r="I75" s="1591"/>
    </row>
    <row r="76" spans="1:9" ht="20.100000000000001" customHeight="1">
      <c r="A76" s="1591"/>
      <c r="B76" s="1591"/>
      <c r="C76" s="1591"/>
      <c r="D76" s="1591"/>
      <c r="E76" s="1591"/>
      <c r="F76" s="1591"/>
      <c r="G76" s="1591"/>
      <c r="H76" s="1591"/>
      <c r="I76" s="1591"/>
    </row>
    <row r="77" spans="1:9" ht="20.100000000000001" customHeight="1">
      <c r="A77" s="1591"/>
      <c r="B77" s="1591"/>
      <c r="C77" s="1591"/>
      <c r="D77" s="1591"/>
      <c r="E77" s="1591"/>
      <c r="F77" s="1591"/>
      <c r="G77" s="1591"/>
      <c r="H77" s="1591"/>
      <c r="I77" s="1591"/>
    </row>
    <row r="78" spans="1:9" ht="20.100000000000001" customHeight="1">
      <c r="A78" s="1591"/>
      <c r="B78" s="1591"/>
      <c r="C78" s="1591"/>
      <c r="D78" s="1591"/>
      <c r="E78" s="1591"/>
      <c r="F78" s="1591"/>
      <c r="G78" s="1591"/>
      <c r="H78" s="1591"/>
      <c r="I78" s="1591"/>
    </row>
    <row r="79" spans="1:9" ht="20.100000000000001" customHeight="1"/>
    <row r="80" spans="1:9"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sheetData>
  <sheetProtection sheet="1" objects="1" scenarios="1"/>
  <mergeCells count="3">
    <mergeCell ref="A2:I2"/>
    <mergeCell ref="B3:C3"/>
    <mergeCell ref="A32:I32"/>
  </mergeCells>
  <conditionalFormatting sqref="C6:I6 B3:C3 C9:I9">
    <cfRule type="cellIs" dxfId="109" priority="2" operator="equal">
      <formula>0</formula>
    </cfRule>
  </conditionalFormatting>
  <dataValidations count="3">
    <dataValidation type="list" operator="equal" allowBlank="1" showInputMessage="1" showErrorMessage="1" sqref="A11">
      <formula1>"Steuererstattung,Erbschaft,Schenkung,Abfindung,Zinseinnahmen,Lotteriegewinn,sonstige Einmalzahlung"</formula1>
      <formula2>0</formula2>
    </dataValidation>
    <dataValidation type="list" operator="equal" allowBlank="1" showInputMessage="1" showErrorMessage="1" sqref="A14">
      <formula1>"Weihnachtsgeld brutto,Urlaubsgeld brutto,Tarifliche Einmalzahlung brutto,Jubiläumszuwendung brutto,Leistungsprämie brutto,sonstige Einmalzahlung brutto"</formula1>
      <formula2>0</formula2>
    </dataValidation>
    <dataValidation type="list" operator="equal" allowBlank="1" showInputMessage="1" showErrorMessage="1" sqref="A15">
      <formula1>"Weihnachtsgeld netto,Urlaubsgeld netto,Tarifliche Einmalzahlung netto,Jubiläumszuwendung netto,Leistungsprämie netto,sonstige Einmalzahlung netto"</formula1>
      <formula2>0</formula2>
    </dataValidation>
  </dataValidations>
  <pageMargins left="0.905555555555556" right="0.51180555555555496" top="0.78749999999999998" bottom="0.39374999999999999"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dimension ref="A1:BL346"/>
  <sheetViews>
    <sheetView showGridLines="0" zoomScale="120" zoomScaleNormal="120" workbookViewId="0">
      <selection activeCell="A2" sqref="A2"/>
    </sheetView>
  </sheetViews>
  <sheetFormatPr baseColWidth="10" defaultColWidth="11.5703125" defaultRowHeight="16.5"/>
  <cols>
    <col min="1" max="1" width="33.28515625" style="801" customWidth="1"/>
    <col min="2" max="2" width="16.7109375" style="801" customWidth="1"/>
    <col min="3" max="3" width="12.85546875" style="801" customWidth="1"/>
    <col min="4" max="6" width="13" style="801" customWidth="1"/>
    <col min="7" max="7" width="12.5703125" style="801" customWidth="1"/>
    <col min="8" max="8" width="12.7109375" style="801" customWidth="1"/>
    <col min="9" max="9" width="13.42578125" style="801" customWidth="1"/>
    <col min="10" max="64" width="11.42578125" style="801" customWidth="1"/>
  </cols>
  <sheetData>
    <row r="1" spans="1:11" ht="20.25" customHeight="1">
      <c r="H1" s="802"/>
      <c r="I1" s="803"/>
    </row>
    <row r="2" spans="1:11" ht="36" customHeight="1">
      <c r="A2" s="1996" t="s">
        <v>2325</v>
      </c>
      <c r="B2" s="1996"/>
      <c r="C2" s="1996"/>
      <c r="D2" s="1996"/>
      <c r="E2" s="1996"/>
      <c r="F2" s="1996"/>
      <c r="G2" s="1996"/>
      <c r="H2" s="1996"/>
      <c r="I2" s="1996"/>
      <c r="J2" s="1268"/>
      <c r="K2" s="1268"/>
    </row>
    <row r="3" spans="1:11" ht="18.75">
      <c r="A3" s="806" t="s">
        <v>138</v>
      </c>
      <c r="B3" s="1990">
        <f>AB!B2</f>
        <v>0</v>
      </c>
      <c r="C3" s="1990"/>
      <c r="D3" s="807" t="s">
        <v>139</v>
      </c>
      <c r="E3" s="813">
        <f>AB!E2</f>
        <v>44774</v>
      </c>
      <c r="F3" s="809" t="s">
        <v>2158</v>
      </c>
      <c r="G3" s="814">
        <f>AB!F2</f>
        <v>44804</v>
      </c>
      <c r="H3" s="811"/>
      <c r="I3" s="812"/>
      <c r="J3" s="1268"/>
      <c r="K3" s="1268"/>
    </row>
    <row r="4" spans="1:11">
      <c r="J4" s="1268"/>
      <c r="K4" s="1268"/>
    </row>
    <row r="5" spans="1:11" ht="23.25">
      <c r="A5" s="1319"/>
      <c r="B5" s="1320" t="s">
        <v>127</v>
      </c>
      <c r="C5" s="1316"/>
      <c r="D5" s="1316"/>
      <c r="E5" s="1316"/>
      <c r="F5" s="1316"/>
      <c r="G5" s="1316"/>
      <c r="H5" s="1316"/>
      <c r="I5" s="1321"/>
    </row>
    <row r="6" spans="1:11" ht="20.25" customHeight="1">
      <c r="A6" s="839"/>
      <c r="B6" s="1322" t="s">
        <v>246</v>
      </c>
      <c r="C6" s="1322" t="str">
        <f>AB!C4</f>
        <v>Antragsteller</v>
      </c>
      <c r="D6" s="1322" t="str">
        <f>AB!D4</f>
        <v>Partner(in)</v>
      </c>
      <c r="E6" s="1322" t="str">
        <f>AB!E4</f>
        <v>Kind 1</v>
      </c>
      <c r="F6" s="1322" t="s">
        <v>145</v>
      </c>
      <c r="G6" s="1322" t="s">
        <v>146</v>
      </c>
      <c r="H6" s="1322" t="s">
        <v>147</v>
      </c>
      <c r="I6" s="1323" t="s">
        <v>148</v>
      </c>
    </row>
    <row r="7" spans="1:11">
      <c r="A7" s="839" t="s">
        <v>2159</v>
      </c>
      <c r="B7" s="1324">
        <f>AB!B6</f>
        <v>1</v>
      </c>
      <c r="C7" s="841">
        <f>AB!C6</f>
        <v>0</v>
      </c>
      <c r="D7" s="841">
        <f>AB!D6</f>
        <v>0</v>
      </c>
      <c r="E7" s="841">
        <f>AB!E6</f>
        <v>0</v>
      </c>
      <c r="F7" s="841">
        <f>AB!F6</f>
        <v>0</v>
      </c>
      <c r="G7" s="841">
        <f>AB!G6</f>
        <v>0</v>
      </c>
      <c r="H7" s="841">
        <f>AB!H6</f>
        <v>0</v>
      </c>
      <c r="I7" s="842">
        <f>AB!I6</f>
        <v>0</v>
      </c>
    </row>
    <row r="8" spans="1:11" hidden="1">
      <c r="A8" s="839" t="s">
        <v>2160</v>
      </c>
      <c r="B8" s="864"/>
      <c r="C8" s="1325" t="str">
        <f>AB!E7</f>
        <v>ja</v>
      </c>
      <c r="D8" s="1325" t="str">
        <f>AB!F7</f>
        <v>ja</v>
      </c>
      <c r="E8" s="1325"/>
      <c r="F8" s="1325"/>
      <c r="G8" s="1325"/>
      <c r="H8" s="1325"/>
      <c r="I8" s="1326"/>
    </row>
    <row r="9" spans="1:11">
      <c r="A9" s="839" t="s">
        <v>2161</v>
      </c>
      <c r="B9" s="889"/>
      <c r="C9" s="879">
        <f>AB!C22</f>
        <v>0</v>
      </c>
      <c r="D9" s="879">
        <f>AB!D22</f>
        <v>0</v>
      </c>
      <c r="E9" s="879">
        <f>IF(AB!E16=0,AB!E16,AB!E22)</f>
        <v>0</v>
      </c>
      <c r="F9" s="879">
        <f>IF(AB!F16=0,AB!F16,AB!F22)</f>
        <v>0</v>
      </c>
      <c r="G9" s="879">
        <f>IF(AB!G16=0,AB!G16,AB!G22)</f>
        <v>0</v>
      </c>
      <c r="H9" s="879">
        <f>IF(AB!H16=0,AB!H16,AB!H22)</f>
        <v>0</v>
      </c>
      <c r="I9" s="880">
        <f>IF(AB!I16=0,AB!I16,AB!I22)</f>
        <v>0</v>
      </c>
    </row>
    <row r="10" spans="1:11">
      <c r="A10" s="854" t="s">
        <v>2162</v>
      </c>
      <c r="B10" s="1327"/>
      <c r="C10" s="1328" t="str">
        <f>AB!C35</f>
        <v>ja</v>
      </c>
      <c r="D10" s="1328">
        <f>IF(AB!D33&gt;0,AB!D35,0)</f>
        <v>0</v>
      </c>
      <c r="E10" s="1328">
        <f>IF(AB!E33&gt;0,AB!E35,0)</f>
        <v>0</v>
      </c>
      <c r="F10" s="1328">
        <f>IF(AB!F33&gt;0,AB!F35,0)</f>
        <v>0</v>
      </c>
      <c r="G10" s="1328">
        <f>IF(AB!G33&gt;0,AB!G35,0)</f>
        <v>0</v>
      </c>
      <c r="H10" s="1328">
        <f>IF(AB!H33&gt;0,AB!H35,0)</f>
        <v>0</v>
      </c>
      <c r="I10" s="1329">
        <f>IF(AB!I33&gt;0,AB!I35,0)</f>
        <v>0</v>
      </c>
    </row>
    <row r="11" spans="1:11">
      <c r="A11" s="1330" t="s">
        <v>2163</v>
      </c>
      <c r="B11" s="1331">
        <f>SUM(C11:I11)</f>
        <v>409</v>
      </c>
      <c r="C11" s="1332">
        <f>AB!C33</f>
        <v>409</v>
      </c>
      <c r="D11" s="1332">
        <f>AB!D33</f>
        <v>0</v>
      </c>
      <c r="E11" s="1332">
        <f>AB!E33</f>
        <v>0</v>
      </c>
      <c r="F11" s="1332">
        <f>AB!F33</f>
        <v>0</v>
      </c>
      <c r="G11" s="1332">
        <f>AB!G33</f>
        <v>0</v>
      </c>
      <c r="H11" s="1332">
        <f>AB!H33</f>
        <v>0</v>
      </c>
      <c r="I11" s="1333">
        <f>AB!I33</f>
        <v>0</v>
      </c>
    </row>
    <row r="12" spans="1:11">
      <c r="A12" s="1334" t="s">
        <v>2164</v>
      </c>
      <c r="B12" s="522"/>
      <c r="C12" s="1016"/>
      <c r="D12" s="1016"/>
      <c r="E12" s="1016"/>
      <c r="F12" s="1016"/>
      <c r="G12" s="1016"/>
      <c r="H12" s="1016"/>
      <c r="I12" s="1017"/>
    </row>
    <row r="13" spans="1:11">
      <c r="A13" s="976">
        <f>IF(B13&gt;0,"Schwangerschaft",0)</f>
        <v>0</v>
      </c>
      <c r="B13" s="1335">
        <f>SUM(C13:I13)</f>
        <v>0</v>
      </c>
      <c r="C13" s="522">
        <f>IF(OR(AB!C37="",C10="nur Mehrbedarf"),0,AB!C45)</f>
        <v>0</v>
      </c>
      <c r="D13" s="522">
        <f>IF(OR(AB!D37="",D10="nur Mehrbedarf"),0,AB!D45)</f>
        <v>0</v>
      </c>
      <c r="E13" s="522">
        <f>IF(AB!E37="",0,AB!E45)</f>
        <v>0</v>
      </c>
      <c r="F13" s="522"/>
      <c r="G13" s="522"/>
      <c r="H13" s="522"/>
      <c r="I13" s="523"/>
    </row>
    <row r="14" spans="1:11">
      <c r="A14" s="976">
        <f>IF(B14&gt;0,"Alleinerziehende",0)</f>
        <v>0</v>
      </c>
      <c r="B14" s="1335">
        <f>C14</f>
        <v>0</v>
      </c>
      <c r="C14" s="522">
        <f>IF(C10="nur Mehrbedarf",0,AB!B46)</f>
        <v>0</v>
      </c>
      <c r="D14" s="522"/>
      <c r="E14" s="522"/>
      <c r="F14" s="522"/>
      <c r="G14" s="522"/>
      <c r="H14" s="522"/>
      <c r="I14" s="523"/>
    </row>
    <row r="15" spans="1:11">
      <c r="A15" s="976">
        <f>IF(B15&gt;0,"behinderter Mensch, Teilhabe",0)</f>
        <v>0</v>
      </c>
      <c r="B15" s="1335">
        <f>SUM(C15:I15)</f>
        <v>0</v>
      </c>
      <c r="C15" s="522">
        <f>IF(AB!C34="ja",AB!C92,0)</f>
        <v>0</v>
      </c>
      <c r="D15" s="522">
        <f>IF(AB!D34="ja",AB!D92,0)</f>
        <v>0</v>
      </c>
      <c r="E15" s="522">
        <f>IF(AB!E34="ja",AB!E92,0)</f>
        <v>0</v>
      </c>
      <c r="F15" s="522">
        <f>IF(AB!F34="ja",AB!F92,0)</f>
        <v>0</v>
      </c>
      <c r="G15" s="522">
        <f>IF(AB!G34="ja",AB!G92,0)</f>
        <v>0</v>
      </c>
      <c r="H15" s="522">
        <f>IF(AB!H34="ja",AB!H92,0)</f>
        <v>0</v>
      </c>
      <c r="I15" s="523">
        <f>IF(AB!I34="ja",AB!I92,0)</f>
        <v>0</v>
      </c>
    </row>
    <row r="16" spans="1:11">
      <c r="A16" s="976">
        <f>IF(B16&gt;0,"kostenaufwändige Ernährung",0)</f>
        <v>0</v>
      </c>
      <c r="B16" s="1335">
        <f>SUM(C16:I16)</f>
        <v>0</v>
      </c>
      <c r="C16" s="522">
        <f>IF(C10="nur Mehrbedarf",0,AB!C93)</f>
        <v>0</v>
      </c>
      <c r="D16" s="522">
        <f>IF(D10="nur Mehrbedarf",0,AB!D93)</f>
        <v>0</v>
      </c>
      <c r="E16" s="522">
        <f>AB!E93</f>
        <v>0</v>
      </c>
      <c r="F16" s="522">
        <f>AB!F93</f>
        <v>0</v>
      </c>
      <c r="G16" s="522">
        <f>AB!G93</f>
        <v>0</v>
      </c>
      <c r="H16" s="522">
        <f>AB!H93</f>
        <v>0</v>
      </c>
      <c r="I16" s="523">
        <f>AB!I93</f>
        <v>0</v>
      </c>
    </row>
    <row r="17" spans="1:11">
      <c r="A17" s="976">
        <f>IF(B17&gt;0,"unabweisbarer, lfd., besond. Bedarf",0)</f>
        <v>0</v>
      </c>
      <c r="B17" s="1335">
        <f>SUM(C17:I17)</f>
        <v>0</v>
      </c>
      <c r="C17" s="522">
        <f>IF(C10="nur Mehrbedarf",0,AB!C94)</f>
        <v>0</v>
      </c>
      <c r="D17" s="522">
        <f>IF(D10="nur Mehrbedarf",0,AB!D94)</f>
        <v>0</v>
      </c>
      <c r="E17" s="522">
        <f>AB!E94</f>
        <v>0</v>
      </c>
      <c r="F17" s="522">
        <f>AB!F94</f>
        <v>0</v>
      </c>
      <c r="G17" s="522">
        <f>AB!G94</f>
        <v>0</v>
      </c>
      <c r="H17" s="522">
        <f>AB!H94</f>
        <v>0</v>
      </c>
      <c r="I17" s="523">
        <f>AB!I94</f>
        <v>0</v>
      </c>
    </row>
    <row r="18" spans="1:11">
      <c r="A18" s="976">
        <f>IF(B18&gt;0,"Warmwasser dezentral",0)</f>
        <v>0</v>
      </c>
      <c r="B18" s="1335">
        <f>SUM(C18:I18)</f>
        <v>0</v>
      </c>
      <c r="C18" s="522">
        <f>AB!C98</f>
        <v>0</v>
      </c>
      <c r="D18" s="522">
        <f>AB!D98</f>
        <v>0</v>
      </c>
      <c r="E18" s="522">
        <f>AB!E98</f>
        <v>0</v>
      </c>
      <c r="F18" s="522">
        <f>AB!F98</f>
        <v>0</v>
      </c>
      <c r="G18" s="522">
        <f>AB!G98</f>
        <v>0</v>
      </c>
      <c r="H18" s="522">
        <f>AB!H98</f>
        <v>0</v>
      </c>
      <c r="I18" s="523">
        <f>AB!I98</f>
        <v>0</v>
      </c>
    </row>
    <row r="19" spans="1:11">
      <c r="A19" s="976">
        <f>IF(B19&gt;0,"erwerbsunfähig, Merkzeichen G",0)</f>
        <v>0</v>
      </c>
      <c r="B19" s="1335">
        <f>SUM(C19:I19)</f>
        <v>0</v>
      </c>
      <c r="C19" s="522">
        <f>IF(AB!C34="nein",AB!C100,0)</f>
        <v>0</v>
      </c>
      <c r="D19" s="522">
        <f>IF(AB!D34="nein",AB!D100,0)</f>
        <v>0</v>
      </c>
      <c r="E19" s="522">
        <f>IF(AB!E34="nein",AB!E100,0)</f>
        <v>0</v>
      </c>
      <c r="F19" s="522">
        <f>IF(AB!F34="nein",AB!F100,0)</f>
        <v>0</v>
      </c>
      <c r="G19" s="522">
        <f>IF(AB!G34="nein",AB!G100,0)</f>
        <v>0</v>
      </c>
      <c r="H19" s="522">
        <f>IF(AB!H34="nein",AB!H100,0)</f>
        <v>0</v>
      </c>
      <c r="I19" s="523">
        <f>IF(AB!I34="nein",AB!I100,0)</f>
        <v>0</v>
      </c>
    </row>
    <row r="20" spans="1:11" ht="18" customHeight="1">
      <c r="A20" s="1336" t="s">
        <v>169</v>
      </c>
      <c r="B20" s="522"/>
      <c r="C20" s="518"/>
      <c r="D20" s="518"/>
      <c r="E20" s="518"/>
      <c r="F20" s="1016"/>
      <c r="G20" s="1016"/>
      <c r="H20" s="1016"/>
      <c r="I20" s="1017"/>
    </row>
    <row r="21" spans="1:11" hidden="1">
      <c r="A21" s="833"/>
      <c r="B21" s="522">
        <f>AB!C102</f>
        <v>0</v>
      </c>
      <c r="C21" s="522">
        <f>B21/B7</f>
        <v>0</v>
      </c>
      <c r="D21" s="522">
        <f>IF(D9=0,0,B21/B7)</f>
        <v>0</v>
      </c>
      <c r="E21" s="522">
        <f>IF(AB!E33=0,0,B21/B7)</f>
        <v>0</v>
      </c>
      <c r="F21" s="522">
        <f>IF(AB!F33=0,0,B21/B7)</f>
        <v>0</v>
      </c>
      <c r="G21" s="522">
        <f>IF(AB!G33=0,0,B21/B7)</f>
        <v>0</v>
      </c>
      <c r="H21" s="522">
        <f>IF(AB!H33=0,0,B21/B7)</f>
        <v>0</v>
      </c>
      <c r="I21" s="523">
        <f>IF(AB!I33=0,0,B21/B7)</f>
        <v>0</v>
      </c>
    </row>
    <row r="22" spans="1:11" hidden="1">
      <c r="A22" s="1337"/>
      <c r="B22" s="522">
        <f>SUM(C22:I22)</f>
        <v>0</v>
      </c>
      <c r="C22" s="522">
        <f>C21</f>
        <v>0</v>
      </c>
      <c r="D22" s="522">
        <f>D21</f>
        <v>0</v>
      </c>
      <c r="E22" s="522">
        <f>IF(AB!E8&gt;AB!E2,E21*AB!E14/30,IF(AB!E18=25,E21*AB!E10/30,E21))</f>
        <v>0</v>
      </c>
      <c r="F22" s="522">
        <f>IF(AB!F8&gt;AB!E2,F21*AB!F14/30,IF(AB!F18=25,F21*AB!F10/30,F21))</f>
        <v>0</v>
      </c>
      <c r="G22" s="522">
        <f>IF(AB!G8&gt;AB!E2,G21*AB!G14/30,IF(AB!G18=25,G21*AB!G10/30,G21))</f>
        <v>0</v>
      </c>
      <c r="H22" s="522">
        <f>IF(AB!H8&gt;AB!E2,H21*AB!H14/30,IF(AB!H18=25,H21*AB!H10/30,H21))</f>
        <v>0</v>
      </c>
      <c r="I22" s="523">
        <f>IF(AB!I8&gt;AB!E2,I21*AB!I14/30,IF(AB!I18=25,I21*AB!I10/30,I21))</f>
        <v>0</v>
      </c>
      <c r="K22" s="1338">
        <f>COUNTIF(C22:I22,C22)</f>
        <v>7</v>
      </c>
    </row>
    <row r="23" spans="1:11" hidden="1">
      <c r="A23" s="833"/>
      <c r="B23" s="522">
        <f>SUM(C23:I23)</f>
        <v>0</v>
      </c>
      <c r="C23" s="522">
        <f>IF(AND(B22&lt;B21,C22=C21,C22&gt;0),C21+(B21-B22)/K22,C22)</f>
        <v>0</v>
      </c>
      <c r="D23" s="522">
        <f>IF(AND(B22&lt;B21,D22=D21,D22&gt;0),D21+(B21-B22)/K22,D22)</f>
        <v>0</v>
      </c>
      <c r="E23" s="522">
        <f>IF(AND(B22&lt;B21,E22=E21,E22&gt;0),E21+(B21-B22)/K22,E22)</f>
        <v>0</v>
      </c>
      <c r="F23" s="522">
        <f>IF(AND(B22&lt;B21,F22=F21,F22&gt;0),F21+(B21-B22)/K22,F22)</f>
        <v>0</v>
      </c>
      <c r="G23" s="522">
        <f>IF(AND(B22&lt;B21,G22=G21,G22&gt;0),G21+(B21-B22)/K22,G22)</f>
        <v>0</v>
      </c>
      <c r="H23" s="522">
        <f>IF(AND(B22&lt;B21,H22=H21,H22&gt;0),H21+(B21-B22)/K22,H22)</f>
        <v>0</v>
      </c>
      <c r="I23" s="523">
        <f>IF(AND(B22&lt;B21,I22=I21,I22&gt;0),I21+(B21-B22)/K22,I22)</f>
        <v>0</v>
      </c>
    </row>
    <row r="24" spans="1:11">
      <c r="A24" s="1339">
        <f>IF(B24&gt;0,AB!A102,0)</f>
        <v>0</v>
      </c>
      <c r="B24" s="1335">
        <f>SUM(C24:I24)</f>
        <v>0</v>
      </c>
      <c r="C24" s="522">
        <f>IF(AB!$K$18&gt;0,C22,C23)</f>
        <v>0</v>
      </c>
      <c r="D24" s="522">
        <f>IF(AB!$K$18&gt;0,D22,D23)</f>
        <v>0</v>
      </c>
      <c r="E24" s="522">
        <f>IF(AB!$K$18&gt;0,E22,E23)</f>
        <v>0</v>
      </c>
      <c r="F24" s="522">
        <f>IF(AB!$K$18&gt;0,F22,F23)</f>
        <v>0</v>
      </c>
      <c r="G24" s="522">
        <f>IF(AB!$K$18&gt;0,G22,G23)</f>
        <v>0</v>
      </c>
      <c r="H24" s="522">
        <f>IF(AB!$K$18&gt;0,H22,H23)</f>
        <v>0</v>
      </c>
      <c r="I24" s="523">
        <f>IF(AB!$K$18&gt;0,I22,I23)</f>
        <v>0</v>
      </c>
    </row>
    <row r="25" spans="1:11" hidden="1">
      <c r="A25" s="1592" t="str">
        <f>AB!A103</f>
        <v>weitere Kosten</v>
      </c>
      <c r="B25" s="522">
        <f>AB!C103</f>
        <v>0</v>
      </c>
      <c r="C25" s="522">
        <f>B25/B7</f>
        <v>0</v>
      </c>
      <c r="D25" s="522">
        <f>IF(D9="",0,B25/B7)</f>
        <v>0</v>
      </c>
      <c r="E25" s="522">
        <f>IF(E9="",0,B25/B7)</f>
        <v>0</v>
      </c>
      <c r="F25" s="522">
        <f>IF(F9="",0,B25/B7)</f>
        <v>0</v>
      </c>
      <c r="G25" s="522">
        <f>IF(G9="",0,B25/B7)</f>
        <v>0</v>
      </c>
      <c r="H25" s="522">
        <f>IF(H9="",0,B25/B7)</f>
        <v>0</v>
      </c>
      <c r="I25" s="523">
        <f>IF(I9="",0,B25/B7)</f>
        <v>0</v>
      </c>
    </row>
    <row r="26" spans="1:11" hidden="1">
      <c r="A26" s="1341"/>
      <c r="B26" s="522">
        <f>AB!C104</f>
        <v>0</v>
      </c>
      <c r="C26" s="522">
        <f>B26/B7</f>
        <v>0</v>
      </c>
      <c r="D26" s="522">
        <f>IF(D9=0,0,B26/B7)</f>
        <v>0</v>
      </c>
      <c r="E26" s="522">
        <f>IF(AB!E33=0,0,B26/B7)</f>
        <v>0</v>
      </c>
      <c r="F26" s="522">
        <f>IF(AB!F33=0,0,B26/B7)</f>
        <v>0</v>
      </c>
      <c r="G26" s="522">
        <f>IF(AB!G33=0,0,B26/B7)</f>
        <v>0</v>
      </c>
      <c r="H26" s="522">
        <f>IF(AB!H33=0,0,B26/B7)</f>
        <v>0</v>
      </c>
      <c r="I26" s="523">
        <f>IF(AB!I33=0,0,B26/B7)</f>
        <v>0</v>
      </c>
    </row>
    <row r="27" spans="1:11" hidden="1">
      <c r="A27" s="1339"/>
      <c r="B27" s="522">
        <f>SUM(C27:I27)</f>
        <v>0</v>
      </c>
      <c r="C27" s="522">
        <f>C26</f>
        <v>0</v>
      </c>
      <c r="D27" s="522">
        <f>D26</f>
        <v>0</v>
      </c>
      <c r="E27" s="522">
        <f>IF(AB!E8&gt;AB!E2,E26*AB!E14/30,IF(AB!E18=25,E26*AB!E10/30,E26))</f>
        <v>0</v>
      </c>
      <c r="F27" s="522">
        <f>IF(AB!F8&gt;AB!E2,F26*AB!F14/30,IF(AB!F18=25,F26*AB!F10/30,F26))</f>
        <v>0</v>
      </c>
      <c r="G27" s="522">
        <f>IF(AB!G8&gt;AB!E2,G26*AB!G14/30,IF(AB!G18=25,G26*AB!G10/30,G26))</f>
        <v>0</v>
      </c>
      <c r="H27" s="522">
        <f>IF(AB!H8&gt;AB!E2,H26*AB!H14/30,IF(AB!H18=25,H26*AB!H10/30,H26))</f>
        <v>0</v>
      </c>
      <c r="I27" s="523">
        <f>IF(AB!I8&gt;AB!E2,I26*AB!I14/30,IF(AB!I18=25,I26*AB!I10/30,I26))</f>
        <v>0</v>
      </c>
      <c r="K27" s="1338">
        <f>COUNTIF(C27:I27,C27)</f>
        <v>7</v>
      </c>
    </row>
    <row r="28" spans="1:11" hidden="1">
      <c r="A28" s="1341"/>
      <c r="B28" s="522">
        <f>SUM(C28:I28)</f>
        <v>0</v>
      </c>
      <c r="C28" s="522">
        <f>IF(AND(B27&lt;B26,C27=C26,C27&gt;0),C26+(B26-B27)/K27,C27)</f>
        <v>0</v>
      </c>
      <c r="D28" s="522">
        <f>IF(AND(B27&lt;B26,D27=D26,D27&gt;0),D26+(B26-B27)/K27,D27)</f>
        <v>0</v>
      </c>
      <c r="E28" s="522">
        <f>IF(AND(B27&lt;B26,E27=E26,E27&gt;0),E26+(B26-B27)/K27,E27)</f>
        <v>0</v>
      </c>
      <c r="F28" s="522">
        <f>IF(AND(B27&lt;B26,F27=F26,F27&gt;0),F26+(B26-B27)/K27,F27)</f>
        <v>0</v>
      </c>
      <c r="G28" s="522">
        <f>IF(AND(B27&lt;B26,G27=G26,G27&gt;0),G26+(B26-B27)/K27,G27)</f>
        <v>0</v>
      </c>
      <c r="H28" s="522">
        <f>IF(AND(B27&lt;B26,H27=H26,H27&gt;0),H26+(B26-B27)/K27,H27)</f>
        <v>0</v>
      </c>
      <c r="I28" s="523">
        <f>IF(AND(B27&lt;B26,I27=I26,I27&gt;0),I26+(B26-B27)/K27,I27)</f>
        <v>0</v>
      </c>
    </row>
    <row r="29" spans="1:11">
      <c r="A29" s="1339">
        <f>IF(B29&gt;0,AB!A104,0)</f>
        <v>0</v>
      </c>
      <c r="B29" s="1335">
        <f>SUM(C29:I29)</f>
        <v>0</v>
      </c>
      <c r="C29" s="522">
        <f>IF(AB!$K$18&gt;0,C27,C28)</f>
        <v>0</v>
      </c>
      <c r="D29" s="522">
        <f>IF(AB!$K$18&gt;0,D27,D28)</f>
        <v>0</v>
      </c>
      <c r="E29" s="522">
        <f>IF(AB!$K$18&gt;0,E27,E28)</f>
        <v>0</v>
      </c>
      <c r="F29" s="522">
        <f>IF(AB!$K$18&gt;0,F27,F28)</f>
        <v>0</v>
      </c>
      <c r="G29" s="522">
        <f>IF(AB!$K$18&gt;0,G27,G28)</f>
        <v>0</v>
      </c>
      <c r="H29" s="522">
        <f>IF(AB!$K$18&gt;0,H27,H28)</f>
        <v>0</v>
      </c>
      <c r="I29" s="523">
        <f>IF(AB!$K$18&gt;0,I27,I28)</f>
        <v>0</v>
      </c>
    </row>
    <row r="30" spans="1:11" hidden="1">
      <c r="A30" s="1341"/>
      <c r="B30" s="522">
        <f>AB!C105</f>
        <v>0</v>
      </c>
      <c r="C30" s="522">
        <f>B30/B7</f>
        <v>0</v>
      </c>
      <c r="D30" s="522">
        <f>IF(D9=0,0,B30/B7)</f>
        <v>0</v>
      </c>
      <c r="E30" s="522">
        <f>IF(AB!E33=0,0,B30/B7)</f>
        <v>0</v>
      </c>
      <c r="F30" s="522">
        <f>IF(AB!F33=0,0,B30/B7)</f>
        <v>0</v>
      </c>
      <c r="G30" s="522">
        <f>IF(AB!G33=0,0,B30/B7)</f>
        <v>0</v>
      </c>
      <c r="H30" s="522">
        <f>IF(AB!H33=0,0,B30/B7)</f>
        <v>0</v>
      </c>
      <c r="I30" s="523">
        <f>IF(AB!I33=0,0,B30/B7)</f>
        <v>0</v>
      </c>
    </row>
    <row r="31" spans="1:11" hidden="1">
      <c r="A31" s="1339"/>
      <c r="B31" s="522">
        <f>SUM(C31:I31)</f>
        <v>0</v>
      </c>
      <c r="C31" s="522">
        <f>C30</f>
        <v>0</v>
      </c>
      <c r="D31" s="522">
        <f>D30</f>
        <v>0</v>
      </c>
      <c r="E31" s="522">
        <f>IF(AB!E8&gt;AB!E2,E30*AB!E14/30,IF(AB!E18=25,E30*AB!E10/30,E30))</f>
        <v>0</v>
      </c>
      <c r="F31" s="522">
        <f>IF(AB!F8&gt;AB!E2,F30*AB!F14/30,IF(AB!F18=25,F30*AB!F10/30,F30))</f>
        <v>0</v>
      </c>
      <c r="G31" s="522">
        <f>IF(AB!G8&gt;AB!E2,G30*AB!G14/30,IF(AB!G18=25,G30*AB!G10/30,G30))</f>
        <v>0</v>
      </c>
      <c r="H31" s="522">
        <f>IF(AB!H8&gt;AB!E2,H30*AB!H14/30,IF(AB!H18=25,H30*AB!H10/30,H30))</f>
        <v>0</v>
      </c>
      <c r="I31" s="523">
        <f>IF(AB!I8&gt;AB!E2,I30*AB!I14/30,IF(AB!I18=25,I30*AB!I10/30,I30))</f>
        <v>0</v>
      </c>
      <c r="K31" s="1338">
        <f>COUNTIF(C31:I31,C31)</f>
        <v>7</v>
      </c>
    </row>
    <row r="32" spans="1:11" hidden="1">
      <c r="A32" s="1341"/>
      <c r="B32" s="522">
        <f>SUM(C32:I32)</f>
        <v>0</v>
      </c>
      <c r="C32" s="522">
        <f>IF(AND(B31&lt;B30,C31=C30,C31&gt;0),C30+(B30-B31)/K31,C31)</f>
        <v>0</v>
      </c>
      <c r="D32" s="522">
        <f>IF(AND(B31&lt;B30,D31=D30,D31&gt;0),D30+(B30-B31)/K31,D31)</f>
        <v>0</v>
      </c>
      <c r="E32" s="522">
        <f>IF(AND(B31&lt;B30,E31=E30,E31&gt;0),E30+(B30-B31)/K31,E31)</f>
        <v>0</v>
      </c>
      <c r="F32" s="522">
        <f>IF(AND(B31&lt;B30,F31=F30,F31&gt;0),F30+(B30-B31)/K31,F31)</f>
        <v>0</v>
      </c>
      <c r="G32" s="522">
        <f>IF(AND(B31&lt;B30,G31=G30,G31&gt;0),G30+(B30-B31)/K31,G31)</f>
        <v>0</v>
      </c>
      <c r="H32" s="522">
        <f>IF(AND(B31&lt;B30,H31=H30,H31&gt;0),H30+(B30-B31)/K31,H31)</f>
        <v>0</v>
      </c>
      <c r="I32" s="523">
        <f>IF(AND(B31&lt;B30,I31=I30,I31&gt;0),I30+(B30-B31)/K31,I31)</f>
        <v>0</v>
      </c>
    </row>
    <row r="33" spans="1:11">
      <c r="A33" s="1339">
        <f>IF(B33&gt;0,AB!A105,0)</f>
        <v>0</v>
      </c>
      <c r="B33" s="1335">
        <f>SUM(C33:I33)</f>
        <v>0</v>
      </c>
      <c r="C33" s="522">
        <f>IF(AB!$K$18&gt;0,C31,C32)</f>
        <v>0</v>
      </c>
      <c r="D33" s="522">
        <f>IF(AB!$K$18&gt;0,D31,D32)</f>
        <v>0</v>
      </c>
      <c r="E33" s="522">
        <f>IF(AB!$K$18&gt;0,E31,E32)</f>
        <v>0</v>
      </c>
      <c r="F33" s="522">
        <f>IF(AB!$K$18&gt;0,F31,F32)</f>
        <v>0</v>
      </c>
      <c r="G33" s="522">
        <f>IF(AB!$K$18&gt;0,G31,G32)</f>
        <v>0</v>
      </c>
      <c r="H33" s="522">
        <f>IF(AB!$K$18&gt;0,H31,H32)</f>
        <v>0</v>
      </c>
      <c r="I33" s="523">
        <f>IF(AB!$K$18&gt;0,I31,I32)</f>
        <v>0</v>
      </c>
    </row>
    <row r="34" spans="1:11" hidden="1">
      <c r="A34" s="1341"/>
      <c r="B34" s="522">
        <f>AB!C106</f>
        <v>0</v>
      </c>
      <c r="C34" s="522">
        <f>B34/B7</f>
        <v>0</v>
      </c>
      <c r="D34" s="522">
        <f>IF(D9=0,0,B34/B7)</f>
        <v>0</v>
      </c>
      <c r="E34" s="522">
        <f>IF(AB!E33=0,0,B34/B7)</f>
        <v>0</v>
      </c>
      <c r="F34" s="522">
        <f>IF(AB!F33=0,0,B34/B7)</f>
        <v>0</v>
      </c>
      <c r="G34" s="522">
        <f>IF(AB!G33=0,0,B34/B7)</f>
        <v>0</v>
      </c>
      <c r="H34" s="522">
        <f>IF(AB!H33=0,0,B34/B7)</f>
        <v>0</v>
      </c>
      <c r="I34" s="523">
        <f>IF(AB!I33=0,0,B34/B7)</f>
        <v>0</v>
      </c>
    </row>
    <row r="35" spans="1:11" hidden="1">
      <c r="A35" s="1339"/>
      <c r="B35" s="522">
        <f t="shared" ref="B35:B42" si="0">SUM(C35:I35)</f>
        <v>0</v>
      </c>
      <c r="C35" s="522">
        <f>C34</f>
        <v>0</v>
      </c>
      <c r="D35" s="522">
        <f>D34</f>
        <v>0</v>
      </c>
      <c r="E35" s="522">
        <f>IF(AB!E8&gt;AB!E2,E34*AB!E14/30,IF(AB!E18=25,E34*AB!E10/30,E34))</f>
        <v>0</v>
      </c>
      <c r="F35" s="522">
        <f>IF(AB!F8&gt;AB!E2,F34*AB!F14/30,IF(AB!F18=25,F34*AB!F10/30,F34))</f>
        <v>0</v>
      </c>
      <c r="G35" s="522">
        <f>IF(AB!G8&gt;AB!E2,G34*AB!G14/30,IF(AB!G18=25,G34*AB!G10/30,G34))</f>
        <v>0</v>
      </c>
      <c r="H35" s="522">
        <f>IF(AB!H8&gt;AB!E2,H34*AB!H14/30,IF(AB!H18=25,H34*AB!H10/30,H34))</f>
        <v>0</v>
      </c>
      <c r="I35" s="523">
        <f>IF(AB!I8&gt;AB!E2,I34*AB!I14/30,IF(AB!I18=25,I34*AB!I10/30,I34))</f>
        <v>0</v>
      </c>
      <c r="K35" s="1338">
        <f>COUNTIF(C35:I35,C35)</f>
        <v>7</v>
      </c>
    </row>
    <row r="36" spans="1:11" hidden="1">
      <c r="A36" s="1341"/>
      <c r="B36" s="522">
        <f t="shared" si="0"/>
        <v>0</v>
      </c>
      <c r="C36" s="522">
        <f>IF(AND(B35&lt;B34,C35=C34,C35&gt;0),C34+(B34-B35)/K35,C35)</f>
        <v>0</v>
      </c>
      <c r="D36" s="522">
        <f>IF(AND(B35&lt;B34,D35=D34,D35&gt;0),D34+(B34-B35)/K35,D35)</f>
        <v>0</v>
      </c>
      <c r="E36" s="522">
        <f>IF(AND(B35&lt;B34,E35=E34,E35&gt;0),E34+(B34-B35)/K35,E35)</f>
        <v>0</v>
      </c>
      <c r="F36" s="522">
        <f>IF(AND(B35&lt;B34,F35=F34,F35&gt;0),F34+(B34-B35)/K35,F35)</f>
        <v>0</v>
      </c>
      <c r="G36" s="522">
        <f>IF(AND(B35&lt;B34,G35=G34,G35&gt;0),G34+(B34-B35)/K35,G35)</f>
        <v>0</v>
      </c>
      <c r="H36" s="522">
        <f>IF(AND(B35&lt;B34,H35=H34,H35&gt;0),H34+(B34-B35)/K35,H35)</f>
        <v>0</v>
      </c>
      <c r="I36" s="523">
        <f>IF(AND(B35&lt;B34,I35=I34,I35&gt;0),I34+(B34-B35)/K35,I35)</f>
        <v>0</v>
      </c>
    </row>
    <row r="37" spans="1:11">
      <c r="A37" s="1339">
        <f>IF(B37&gt;0,AB!A106,0)</f>
        <v>0</v>
      </c>
      <c r="B37" s="1335">
        <f t="shared" si="0"/>
        <v>0</v>
      </c>
      <c r="C37" s="522">
        <f>IF(AB!$K$18&gt;0,C35,C36)</f>
        <v>0</v>
      </c>
      <c r="D37" s="522">
        <f>IF(AB!$K$18&gt;0,D35,D36)</f>
        <v>0</v>
      </c>
      <c r="E37" s="522">
        <f>IF(AB!$K$18&gt;0,E35,E36)</f>
        <v>0</v>
      </c>
      <c r="F37" s="522">
        <f>IF(AB!$K$18&gt;0,F35,F36)</f>
        <v>0</v>
      </c>
      <c r="G37" s="522">
        <f>IF(AB!$K$18&gt;0,G35,G36)</f>
        <v>0</v>
      </c>
      <c r="H37" s="522">
        <f>IF(AB!$K$18&gt;0,H35,H36)</f>
        <v>0</v>
      </c>
      <c r="I37" s="523">
        <f>IF(AB!$K$18&gt;0,I35,I36)</f>
        <v>0</v>
      </c>
    </row>
    <row r="38" spans="1:11" hidden="1">
      <c r="A38" s="1339"/>
      <c r="B38" s="522">
        <f t="shared" si="0"/>
        <v>0</v>
      </c>
      <c r="C38" s="522">
        <f>AB!C114</f>
        <v>0</v>
      </c>
      <c r="D38" s="522">
        <f>AB!D114</f>
        <v>0</v>
      </c>
      <c r="E38" s="522">
        <f>AB!E114</f>
        <v>0</v>
      </c>
      <c r="F38" s="522">
        <f>AB!F114</f>
        <v>0</v>
      </c>
      <c r="G38" s="522">
        <f>AB!G114</f>
        <v>0</v>
      </c>
      <c r="H38" s="522">
        <f>AB!H114</f>
        <v>0</v>
      </c>
      <c r="I38" s="523">
        <f>AB!I114</f>
        <v>0</v>
      </c>
    </row>
    <row r="39" spans="1:11" hidden="1">
      <c r="A39" s="1339"/>
      <c r="B39" s="522">
        <f t="shared" si="0"/>
        <v>0</v>
      </c>
      <c r="C39" s="522">
        <f>C38</f>
        <v>0</v>
      </c>
      <c r="D39" s="522">
        <f>D38</f>
        <v>0</v>
      </c>
      <c r="E39" s="522">
        <f>IF(AB!E8&gt;AB!$E$2,E38*AB!E14/30,IF(AB!E18=25,E38*AB!E10/30,E38))</f>
        <v>0</v>
      </c>
      <c r="F39" s="522">
        <f>IF(AB!F8&gt;AB!$E$2,F38*AB!F14/30,IF(AB!F18=25,F38*AB!F10/30,F38))</f>
        <v>0</v>
      </c>
      <c r="G39" s="522">
        <f>IF(AB!G8&gt;AB!$E$2,G38*AB!G14/30,IF(AB!G18=25,G38*AB!G10/30,G38))</f>
        <v>0</v>
      </c>
      <c r="H39" s="522">
        <f>IF(AB!H8&gt;AB!$E$2,H38*AB!H14/30,IF(AB!H18=25,H38*AB!H10/30,H38))</f>
        <v>0</v>
      </c>
      <c r="I39" s="523">
        <f>IF(AB!I8&gt;AB!$E$2,I38*AB!I14/30,IF(AB!I18=25,I38*AB!I10/30,I38))</f>
        <v>0</v>
      </c>
      <c r="K39" s="1338">
        <f>COUNTIF(C39:I39,C39)</f>
        <v>7</v>
      </c>
    </row>
    <row r="40" spans="1:11" hidden="1">
      <c r="A40" s="1339"/>
      <c r="B40" s="522">
        <f t="shared" si="0"/>
        <v>0</v>
      </c>
      <c r="C40" s="522">
        <f>IF(AND(B39&lt;B38,C39=C38,C39&gt;0),C38+(B38-B39)/K39,C39)</f>
        <v>0</v>
      </c>
      <c r="D40" s="522">
        <f>IF(AND(B39&lt;B38,D39=D38,D39&gt;0),D38+(B38-B39)/K39,D39)</f>
        <v>0</v>
      </c>
      <c r="E40" s="522">
        <f>IF(AND(B39&lt;B38,E39=E38,E39&gt;0),E38+(B38-B39)/K39,E39)</f>
        <v>0</v>
      </c>
      <c r="F40" s="522">
        <f>IF(AND(B39&lt;B38,F39=F38,F39&gt;0),F38+(B38-B39)/K39,F39)</f>
        <v>0</v>
      </c>
      <c r="G40" s="522">
        <f>IF(AND(B39&lt;B38,G39=G38,G39&gt;0),G38+(B38-B39)/K39,G39)</f>
        <v>0</v>
      </c>
      <c r="H40" s="522">
        <f>IF(AND(B39&lt;B38,H39=H38,H39&gt;0),H38+(B38-B39)/K39,H39)</f>
        <v>0</v>
      </c>
      <c r="I40" s="523">
        <f>IF(AND(B39&lt;B38,I39=I38,I39&gt;0),I38+(B38-B39)/K39,I39)</f>
        <v>0</v>
      </c>
    </row>
    <row r="41" spans="1:11" hidden="1">
      <c r="A41" s="1341"/>
      <c r="B41" s="522">
        <f t="shared" si="0"/>
        <v>0</v>
      </c>
      <c r="C41" s="522">
        <f>IF(AB!$B$107&gt;0,C40,AB!C114)</f>
        <v>0</v>
      </c>
      <c r="D41" s="522">
        <f>IF(AB!$B$107&gt;0,D40,AB!D114)</f>
        <v>0</v>
      </c>
      <c r="E41" s="522">
        <f>IF(AB!$B$107&gt;0,E40,AB!E114)</f>
        <v>0</v>
      </c>
      <c r="F41" s="522">
        <f>IF(AB!$B$107&gt;0,F40,AB!F114)</f>
        <v>0</v>
      </c>
      <c r="G41" s="522">
        <f>IF(AB!$B$107&gt;0,G40,AB!G114)</f>
        <v>0</v>
      </c>
      <c r="H41" s="522">
        <f>IF(AB!$B$107&gt;0,H40,AB!H114)</f>
        <v>0</v>
      </c>
      <c r="I41" s="523">
        <f>IF(AB!$B$107&gt;0,I40,AB!I114)</f>
        <v>0</v>
      </c>
    </row>
    <row r="42" spans="1:11">
      <c r="A42" s="1339">
        <f>IF(B42&gt;0,"./. Kostenanteil für Haushaltsstrom",0)</f>
        <v>0</v>
      </c>
      <c r="B42" s="1335">
        <f t="shared" si="0"/>
        <v>0</v>
      </c>
      <c r="C42" s="522">
        <f>IF(AND(AB!$K$18&gt;0,AB!$B$107&gt;0),C39,C41)</f>
        <v>0</v>
      </c>
      <c r="D42" s="522">
        <f>IF(AND(AB!$K$18&gt;0,AB!$B$107&gt;0),D39,D41)</f>
        <v>0</v>
      </c>
      <c r="E42" s="522">
        <f>IF(AND(AB!$K$18&gt;0,AB!$B$107&gt;0),E39,E41)</f>
        <v>0</v>
      </c>
      <c r="F42" s="522">
        <f>IF(AND(AB!$K$18&gt;0,AB!$B$107&gt;0),F39,F41)</f>
        <v>0</v>
      </c>
      <c r="G42" s="522">
        <f>IF(AND(AB!$K$18&gt;0,AB!$B$107&gt;0),G39,G41)</f>
        <v>0</v>
      </c>
      <c r="H42" s="522">
        <f>IF(AND(AB!$K$18&gt;0,AB!$B$107&gt;0),H39,H41)</f>
        <v>0</v>
      </c>
      <c r="I42" s="523">
        <f>IF(AND(AB!$K$18&gt;0,AB!$B$107&gt;0),I39,I41)</f>
        <v>0</v>
      </c>
    </row>
    <row r="43" spans="1:11" hidden="1">
      <c r="A43" s="1341"/>
      <c r="B43" s="522">
        <f>AB!C115</f>
        <v>0</v>
      </c>
      <c r="C43" s="522">
        <f>B43/B7</f>
        <v>0</v>
      </c>
      <c r="D43" s="522">
        <f>IF(D9=0,0,B43/B7)</f>
        <v>0</v>
      </c>
      <c r="E43" s="522">
        <f>IF(AB!E33=0,0,B43/B7)</f>
        <v>0</v>
      </c>
      <c r="F43" s="522">
        <f>IF(AB!F33=0,0,B43/B7)</f>
        <v>0</v>
      </c>
      <c r="G43" s="522">
        <f>IF(AB!G33=0,0,B43/B7)</f>
        <v>0</v>
      </c>
      <c r="H43" s="522">
        <f>IF(AB!H33=0,0,B43/B7)</f>
        <v>0</v>
      </c>
      <c r="I43" s="523">
        <f>IF(AB!I33=0,0,B43/B7)</f>
        <v>0</v>
      </c>
    </row>
    <row r="44" spans="1:11" hidden="1">
      <c r="A44" s="1339"/>
      <c r="B44" s="522">
        <f>SUM(C44:I44)</f>
        <v>0</v>
      </c>
      <c r="C44" s="522">
        <f>C43</f>
        <v>0</v>
      </c>
      <c r="D44" s="522">
        <f>D43</f>
        <v>0</v>
      </c>
      <c r="E44" s="522">
        <f>IF(AB!E8&gt;AB!E2,E43*AB!E14/30,IF(AB!E18=25,E43*AB!E10/30,E43))</f>
        <v>0</v>
      </c>
      <c r="F44" s="522">
        <f>IF(AB!F8&gt;AB!E2,F43*AB!F14/30,IF(AB!F18=25,F43*AB!F10/30,F43))</f>
        <v>0</v>
      </c>
      <c r="G44" s="522">
        <f>IF(AB!G8&gt;AB!E2,G43*AB!G14/30,IF(AB!G18=25,G43*AB!G10/30,G43))</f>
        <v>0</v>
      </c>
      <c r="H44" s="522">
        <f>IF(AB!H8&gt;AB!E2,H43*AB!H14/30,IF(AB!H18=25,H43*AB!H10/30,H43))</f>
        <v>0</v>
      </c>
      <c r="I44" s="523">
        <f>IF(AB!I8&gt;AB!E2,I43*AB!I14/30,IF(AB!I18=25,I43*AB!I10/30,I43))</f>
        <v>0</v>
      </c>
      <c r="K44" s="1338">
        <f>COUNTIF(C44:I44,C44)</f>
        <v>7</v>
      </c>
    </row>
    <row r="45" spans="1:11" hidden="1">
      <c r="A45" s="1341"/>
      <c r="B45" s="522">
        <f>SUM(C45:I45)</f>
        <v>0</v>
      </c>
      <c r="C45" s="522">
        <f>IF(AND(B44&lt;B43,C44=C43,C44&gt;0),C43+(B43-B44)/K44,C44)</f>
        <v>0</v>
      </c>
      <c r="D45" s="522">
        <f>IF(AND(B44&lt;B43,D44=D43,D44&gt;0),D43+(B43-B44)/K44,D44)</f>
        <v>0</v>
      </c>
      <c r="E45" s="522">
        <f>IF(AND(B44&lt;B43,E44=E43,E44&gt;0),E43+(B43-B44)/K44,E44)</f>
        <v>0</v>
      </c>
      <c r="F45" s="522">
        <f>IF(AND(B44&lt;B43,F44=F43,F44&gt;0),F43+(B43-B44)/K44,F44)</f>
        <v>0</v>
      </c>
      <c r="G45" s="522">
        <f>IF(AND(B44&lt;B43,G44=G43,G44&gt;0),G43+(B43-B44)/K44,G44)</f>
        <v>0</v>
      </c>
      <c r="H45" s="522">
        <f>IF(AND(B44&lt;B43,H44=H43,H44&gt;0),H43+(B43-B44)/K44,H44)</f>
        <v>0</v>
      </c>
      <c r="I45" s="523">
        <f>IF(AND(B44&lt;B43,I44=I43,I44&gt;0),I43+(B43-B44)/K44,I44)</f>
        <v>0</v>
      </c>
    </row>
    <row r="46" spans="1:11">
      <c r="A46" s="1339">
        <f>IF(B46&gt;0,"Heizkosten",0)</f>
        <v>0</v>
      </c>
      <c r="B46" s="1335">
        <f>SUM(C46:I46)</f>
        <v>0</v>
      </c>
      <c r="C46" s="522">
        <f>IF(AB!$K$18&gt;0,C44,C45)</f>
        <v>0</v>
      </c>
      <c r="D46" s="522">
        <f>IF(AB!$K$18&gt;0,D44,D45)</f>
        <v>0</v>
      </c>
      <c r="E46" s="522">
        <f>IF(AB!$K$18&gt;0,E44,E45)</f>
        <v>0</v>
      </c>
      <c r="F46" s="522">
        <f>IF(AB!$K$18&gt;0,F44,F45)</f>
        <v>0</v>
      </c>
      <c r="G46" s="522">
        <f>IF(AB!$K$18&gt;0,G44,G45)</f>
        <v>0</v>
      </c>
      <c r="H46" s="522">
        <f>IF(AB!$K$18&gt;0,H44,H45)</f>
        <v>0</v>
      </c>
      <c r="I46" s="523">
        <f>IF(AB!$K$18&gt;0,I44,I45)</f>
        <v>0</v>
      </c>
    </row>
    <row r="47" spans="1:11" hidden="1">
      <c r="A47" s="1342" t="s">
        <v>2165</v>
      </c>
      <c r="B47" s="1343">
        <f t="shared" ref="B47:I47" si="1">B24-B29+B33+B37-B42+B46</f>
        <v>0</v>
      </c>
      <c r="C47" s="1343">
        <f t="shared" si="1"/>
        <v>0</v>
      </c>
      <c r="D47" s="1343">
        <f t="shared" si="1"/>
        <v>0</v>
      </c>
      <c r="E47" s="1343">
        <f t="shared" si="1"/>
        <v>0</v>
      </c>
      <c r="F47" s="1343">
        <f t="shared" si="1"/>
        <v>0</v>
      </c>
      <c r="G47" s="1343">
        <f t="shared" si="1"/>
        <v>0</v>
      </c>
      <c r="H47" s="1343">
        <f t="shared" si="1"/>
        <v>0</v>
      </c>
      <c r="I47" s="1344">
        <f t="shared" si="1"/>
        <v>0</v>
      </c>
    </row>
    <row r="48" spans="1:11" ht="17.25" customHeight="1">
      <c r="A48" s="1345">
        <f>IF(B49&gt;0,"Sonstiger Bedarf",0)</f>
        <v>0</v>
      </c>
      <c r="B48" s="1346"/>
      <c r="C48" s="1347"/>
      <c r="D48" s="1347"/>
      <c r="E48" s="1347"/>
      <c r="F48" s="1347"/>
      <c r="G48" s="1347"/>
      <c r="H48" s="1347"/>
      <c r="I48" s="1348"/>
    </row>
    <row r="49" spans="1:13" ht="16.5" customHeight="1">
      <c r="A49" s="1349">
        <f>IF(B49&gt;0,AB!A117,0)</f>
        <v>0</v>
      </c>
      <c r="B49" s="1350">
        <f>SUM(C49:I49)</f>
        <v>0</v>
      </c>
      <c r="C49" s="1351">
        <f>AB!C117</f>
        <v>0</v>
      </c>
      <c r="D49" s="1351">
        <f>AB!D117</f>
        <v>0</v>
      </c>
      <c r="E49" s="1351">
        <f>AB!E117</f>
        <v>0</v>
      </c>
      <c r="F49" s="1351">
        <f>AB!F117</f>
        <v>0</v>
      </c>
      <c r="G49" s="1351">
        <f>AB!G117</f>
        <v>0</v>
      </c>
      <c r="H49" s="1351">
        <f>AB!H117</f>
        <v>0</v>
      </c>
      <c r="I49" s="1352">
        <f>AB!I117</f>
        <v>0</v>
      </c>
    </row>
    <row r="50" spans="1:13" ht="23.25" customHeight="1">
      <c r="A50" s="1353" t="s">
        <v>2166</v>
      </c>
      <c r="B50" s="1354">
        <f>SUM(C50:I50)</f>
        <v>409</v>
      </c>
      <c r="C50" s="1354">
        <f t="shared" ref="C50:I50" si="2">C11+C13+C14+C15+C16+C17+C18+C19+C47+C49</f>
        <v>409</v>
      </c>
      <c r="D50" s="1354">
        <f t="shared" si="2"/>
        <v>0</v>
      </c>
      <c r="E50" s="1354">
        <f t="shared" si="2"/>
        <v>0</v>
      </c>
      <c r="F50" s="1354">
        <f t="shared" si="2"/>
        <v>0</v>
      </c>
      <c r="G50" s="1354">
        <f t="shared" si="2"/>
        <v>0</v>
      </c>
      <c r="H50" s="1354">
        <f t="shared" si="2"/>
        <v>0</v>
      </c>
      <c r="I50" s="1355">
        <f t="shared" si="2"/>
        <v>0</v>
      </c>
    </row>
    <row r="51" spans="1:13" ht="21" customHeight="1">
      <c r="C51" s="966">
        <f>VLOOKUP(E3,Bedarfssätze!B7:C14,2)</f>
        <v>391</v>
      </c>
      <c r="D51" s="966">
        <f>VLOOKUP(E3,Bedarfssätze!E7:F14,2)</f>
        <v>353</v>
      </c>
      <c r="E51" s="966">
        <f>VLOOKUP(E3,Bedarfssätze!B26:C33,2)</f>
        <v>296</v>
      </c>
      <c r="F51" s="966">
        <f>VLOOKUP(E3,Bedarfssätze!E26:F33,2)</f>
        <v>261</v>
      </c>
      <c r="G51" s="966">
        <f>VLOOKUP(E3,Bedarfssätze!H26:I33,2)</f>
        <v>229</v>
      </c>
      <c r="H51" s="966">
        <f>VLOOKUP(E3,Bedarfssätze!H7:I14,2)</f>
        <v>313</v>
      </c>
    </row>
    <row r="52" spans="1:13" ht="23.25">
      <c r="A52" s="1319"/>
      <c r="B52" s="1320" t="s">
        <v>175</v>
      </c>
      <c r="C52" s="1316"/>
      <c r="D52" s="1316"/>
      <c r="E52" s="1316"/>
      <c r="F52" s="1316"/>
      <c r="G52" s="1316"/>
      <c r="H52" s="1316"/>
      <c r="I52" s="1321"/>
    </row>
    <row r="53" spans="1:13" ht="17.25" customHeight="1">
      <c r="A53" s="839"/>
      <c r="B53" s="1322" t="s">
        <v>246</v>
      </c>
      <c r="C53" s="1322" t="str">
        <f>AB!C4</f>
        <v>Antragsteller</v>
      </c>
      <c r="D53" s="1322" t="str">
        <f>AB!D4</f>
        <v>Partner(in)</v>
      </c>
      <c r="E53" s="1322" t="str">
        <f>AB!E4</f>
        <v>Kind 1</v>
      </c>
      <c r="F53" s="1322" t="s">
        <v>145</v>
      </c>
      <c r="G53" s="1322" t="s">
        <v>146</v>
      </c>
      <c r="H53" s="1322" t="s">
        <v>147</v>
      </c>
      <c r="I53" s="1323" t="s">
        <v>148</v>
      </c>
    </row>
    <row r="54" spans="1:13" hidden="1">
      <c r="A54" s="1345" t="s">
        <v>2167</v>
      </c>
      <c r="B54" s="1346">
        <f>SUM(C54:I54)</f>
        <v>0</v>
      </c>
      <c r="C54" s="1346">
        <f>AB!C140</f>
        <v>0</v>
      </c>
      <c r="D54" s="1346">
        <f>AB!D140</f>
        <v>0</v>
      </c>
      <c r="E54" s="1346">
        <f>AB!E140</f>
        <v>0</v>
      </c>
      <c r="F54" s="1346">
        <f>AB!F140</f>
        <v>0</v>
      </c>
      <c r="G54" s="1346">
        <f>AB!G140</f>
        <v>0</v>
      </c>
      <c r="H54" s="1346">
        <f>AB!H140</f>
        <v>0</v>
      </c>
      <c r="I54" s="1593">
        <f>AB!I140</f>
        <v>0</v>
      </c>
    </row>
    <row r="55" spans="1:13">
      <c r="A55" s="1544">
        <f>IF(B55&gt;0,"Nettolohn",0)</f>
        <v>0</v>
      </c>
      <c r="B55" s="1335">
        <f>SUM(C55:I55)</f>
        <v>0</v>
      </c>
      <c r="C55" s="522">
        <f>AB!C133</f>
        <v>0</v>
      </c>
      <c r="D55" s="522">
        <f>AB!D133</f>
        <v>0</v>
      </c>
      <c r="E55" s="522">
        <f>AB!E133</f>
        <v>0</v>
      </c>
      <c r="F55" s="522">
        <f>AB!F133</f>
        <v>0</v>
      </c>
      <c r="G55" s="522">
        <f>AB!G133</f>
        <v>0</v>
      </c>
      <c r="H55" s="522">
        <f>AB!H133</f>
        <v>0</v>
      </c>
      <c r="I55" s="523">
        <f>AB!I133</f>
        <v>0</v>
      </c>
    </row>
    <row r="56" spans="1:13">
      <c r="A56" s="1544">
        <f>IF(B56&gt;0,"anrechenbares Erwerbseinkommen anderer Monat",0)</f>
        <v>0</v>
      </c>
      <c r="B56" s="1335">
        <f>SUM(C56:I56)</f>
        <v>0</v>
      </c>
      <c r="C56" s="522">
        <f t="shared" ref="C56:I56" si="3">B303</f>
        <v>0</v>
      </c>
      <c r="D56" s="522">
        <f t="shared" si="3"/>
        <v>0</v>
      </c>
      <c r="E56" s="522">
        <f t="shared" si="3"/>
        <v>0</v>
      </c>
      <c r="F56" s="522">
        <f t="shared" si="3"/>
        <v>0</v>
      </c>
      <c r="G56" s="522">
        <f t="shared" si="3"/>
        <v>0</v>
      </c>
      <c r="H56" s="522">
        <f t="shared" si="3"/>
        <v>0</v>
      </c>
      <c r="I56" s="523">
        <f t="shared" si="3"/>
        <v>0</v>
      </c>
      <c r="J56" s="1080"/>
    </row>
    <row r="57" spans="1:13" hidden="1">
      <c r="A57" s="1594" t="s">
        <v>2314</v>
      </c>
      <c r="B57" s="522"/>
      <c r="C57" s="522">
        <f>IF(C60="auf 6 Monate",einmaligesEK!C14/6,einmaligesEK!C14)</f>
        <v>0</v>
      </c>
      <c r="D57" s="522">
        <f>IF(D60="auf 6 Monate",einmaligesEK!D14/6,einmaligesEK!D14)</f>
        <v>0</v>
      </c>
      <c r="E57" s="522">
        <f>IF(E60="auf 6 Monate",einmaligesEK!E14/6,einmaligesEK!E14)</f>
        <v>0</v>
      </c>
      <c r="F57" s="522">
        <f>IF(F60="auf 6 Monate",einmaligesEK!F14/6,einmaligesEK!F14)</f>
        <v>0</v>
      </c>
      <c r="G57" s="522">
        <f>IF(G60="auf 6 Monate",einmaligesEK!G14/6,einmaligesEK!G14)</f>
        <v>0</v>
      </c>
      <c r="H57" s="522">
        <f>IF(H60="auf 6 Monate",einmaligesEK!H14/6,einmaligesEK!H14)</f>
        <v>0</v>
      </c>
      <c r="I57" s="523">
        <f>IF(I60="auf 6 Monate",einmaligesEK!I14/6,einmaligesEK!I14)</f>
        <v>0</v>
      </c>
      <c r="J57" s="1080"/>
    </row>
    <row r="58" spans="1:13" hidden="1">
      <c r="A58" s="1594" t="s">
        <v>2315</v>
      </c>
      <c r="B58" s="1595"/>
      <c r="C58" s="1595">
        <f>einmaligesEK!C15</f>
        <v>0</v>
      </c>
      <c r="D58" s="1595">
        <f>einmaligesEK!D15</f>
        <v>0</v>
      </c>
      <c r="E58" s="1595">
        <f>einmaligesEK!E15</f>
        <v>0</v>
      </c>
      <c r="F58" s="1595">
        <f>einmaligesEK!F15</f>
        <v>0</v>
      </c>
      <c r="G58" s="1595">
        <f>einmaligesEK!G15</f>
        <v>0</v>
      </c>
      <c r="H58" s="1595">
        <f>einmaligesEK!H15</f>
        <v>0</v>
      </c>
      <c r="I58" s="1596">
        <f>einmaligesEK!I15</f>
        <v>0</v>
      </c>
      <c r="J58" s="1080"/>
    </row>
    <row r="59" spans="1:13">
      <c r="A59" s="1544">
        <f>IF(B59&gt;0,"Weihnachtsgeld netto",0)</f>
        <v>0</v>
      </c>
      <c r="B59" s="1335">
        <f>SUM(C59:I59)</f>
        <v>0</v>
      </c>
      <c r="C59" s="522">
        <f>IF(B!$B$161&lt;=0,(C58-$E252)/6,C58)</f>
        <v>0</v>
      </c>
      <c r="D59" s="522">
        <f>IF(B!$B$161&lt;=0,(D58-E257)/6,D58)</f>
        <v>0</v>
      </c>
      <c r="E59" s="522">
        <f>IF(B!$B$161&lt;=0,(E58-E262)/6,E58)</f>
        <v>0</v>
      </c>
      <c r="F59" s="522">
        <f>IF(B!$B$161&lt;=0,(F58-E267)/6,F58)</f>
        <v>0</v>
      </c>
      <c r="G59" s="522">
        <f>IF(B!$B$161&lt;=0,(G58-E272)/6,G58)</f>
        <v>0</v>
      </c>
      <c r="H59" s="522">
        <f>IF(B!$B$161&lt;=0,(H58-E277)/6,H58)</f>
        <v>0</v>
      </c>
      <c r="I59" s="523">
        <f>IF(B!$B$161&lt;=0,(I58-E282)/6,I58)</f>
        <v>0</v>
      </c>
      <c r="J59" s="1080"/>
    </row>
    <row r="60" spans="1:13">
      <c r="A60" s="1597">
        <f>IF(AND(B59&gt;0,M60&gt;0),"Hinweis zur Einmalzahlung",0)</f>
        <v>0</v>
      </c>
      <c r="B60" s="918"/>
      <c r="C60" s="1598" t="str">
        <f t="shared" ref="C60:I60" si="4">IF(C59&lt;C58,"auf 6 Monate","")</f>
        <v/>
      </c>
      <c r="D60" s="1598" t="str">
        <f t="shared" si="4"/>
        <v/>
      </c>
      <c r="E60" s="1598" t="str">
        <f t="shared" si="4"/>
        <v/>
      </c>
      <c r="F60" s="1598" t="str">
        <f t="shared" si="4"/>
        <v/>
      </c>
      <c r="G60" s="1598" t="str">
        <f t="shared" si="4"/>
        <v/>
      </c>
      <c r="H60" s="1598" t="str">
        <f t="shared" si="4"/>
        <v/>
      </c>
      <c r="I60" s="1599" t="str">
        <f t="shared" si="4"/>
        <v/>
      </c>
      <c r="J60" s="1080"/>
      <c r="M60" s="1600">
        <f>COUNTIF(C60:I60,"auf 6 Monate")</f>
        <v>0</v>
      </c>
    </row>
    <row r="61" spans="1:13">
      <c r="A61" s="976">
        <f>IF(B61&gt;0,"Ausbildungsvergütung (netto)",0)</f>
        <v>0</v>
      </c>
      <c r="B61" s="1335">
        <f t="shared" ref="B61:B71" si="5">SUM(C61:I61)</f>
        <v>0</v>
      </c>
      <c r="C61" s="522">
        <f>AB!C137</f>
        <v>0</v>
      </c>
      <c r="D61" s="522">
        <f>AB!D137</f>
        <v>0</v>
      </c>
      <c r="E61" s="522">
        <f>AB!E137</f>
        <v>0</v>
      </c>
      <c r="F61" s="522">
        <f>AB!F137</f>
        <v>0</v>
      </c>
      <c r="G61" s="522">
        <f>AB!G137</f>
        <v>0</v>
      </c>
      <c r="H61" s="522">
        <f>AB!H137</f>
        <v>0</v>
      </c>
      <c r="I61" s="523">
        <f>AB!I137</f>
        <v>0</v>
      </c>
    </row>
    <row r="62" spans="1:13">
      <c r="A62" s="976">
        <f>IF(B62&gt;0,AB!A139,0)</f>
        <v>0</v>
      </c>
      <c r="B62" s="1335">
        <f t="shared" si="5"/>
        <v>0</v>
      </c>
      <c r="C62" s="522">
        <f>AB!C139</f>
        <v>0</v>
      </c>
      <c r="D62" s="522">
        <f>AB!D139</f>
        <v>0</v>
      </c>
      <c r="E62" s="522">
        <f>AB!E139</f>
        <v>0</v>
      </c>
      <c r="F62" s="522">
        <f>AB!F139</f>
        <v>0</v>
      </c>
      <c r="G62" s="522">
        <f>AB!G139</f>
        <v>0</v>
      </c>
      <c r="H62" s="522">
        <f>AB!H139</f>
        <v>0</v>
      </c>
      <c r="I62" s="523">
        <f>AB!I139</f>
        <v>0</v>
      </c>
    </row>
    <row r="63" spans="1:13">
      <c r="A63" s="976">
        <f>IF(B63&gt;0,"steuerfreie Einnahmen Ehrenamt o.ä.",0)</f>
        <v>0</v>
      </c>
      <c r="B63" s="1335">
        <f t="shared" si="5"/>
        <v>0</v>
      </c>
      <c r="C63" s="522">
        <f>AB!C138</f>
        <v>0</v>
      </c>
      <c r="D63" s="522">
        <f>AB!D138</f>
        <v>0</v>
      </c>
      <c r="E63" s="522">
        <f>AB!E138</f>
        <v>0</v>
      </c>
      <c r="F63" s="522">
        <f>AB!F138</f>
        <v>0</v>
      </c>
      <c r="G63" s="522">
        <f>AB!G138</f>
        <v>0</v>
      </c>
      <c r="H63" s="522">
        <f>AB!H138</f>
        <v>0</v>
      </c>
      <c r="I63" s="523">
        <f>AB!I138</f>
        <v>0</v>
      </c>
    </row>
    <row r="64" spans="1:13">
      <c r="A64" s="976">
        <f>IF(B64&gt;0,"Einkommen aus Freiwilligendienste",0)</f>
        <v>0</v>
      </c>
      <c r="B64" s="1335">
        <f t="shared" si="5"/>
        <v>0</v>
      </c>
      <c r="C64" s="522">
        <f>AB!C168</f>
        <v>0</v>
      </c>
      <c r="D64" s="522">
        <f>AB!D168</f>
        <v>0</v>
      </c>
      <c r="E64" s="522">
        <f>AB!E168</f>
        <v>0</v>
      </c>
      <c r="F64" s="522">
        <f>AB!F168</f>
        <v>0</v>
      </c>
      <c r="G64" s="522">
        <f>AB!G168</f>
        <v>0</v>
      </c>
      <c r="H64" s="522">
        <f>AB!H168</f>
        <v>0</v>
      </c>
      <c r="I64" s="523">
        <f>AB!I168</f>
        <v>0</v>
      </c>
    </row>
    <row r="65" spans="1:13">
      <c r="A65" s="976">
        <f>IF(B65&gt;0,"Elterngeld",0)</f>
        <v>0</v>
      </c>
      <c r="B65" s="1335">
        <f t="shared" si="5"/>
        <v>0</v>
      </c>
      <c r="C65" s="522">
        <f>AB!C172</f>
        <v>0</v>
      </c>
      <c r="D65" s="522">
        <f>AB!D172</f>
        <v>0</v>
      </c>
      <c r="E65" s="522"/>
      <c r="F65" s="522"/>
      <c r="G65" s="522"/>
      <c r="H65" s="522"/>
      <c r="I65" s="523"/>
    </row>
    <row r="66" spans="1:13">
      <c r="A66" s="976">
        <f>IF(B66&gt;0,AB!A178,0)</f>
        <v>0</v>
      </c>
      <c r="B66" s="1335">
        <f t="shared" si="5"/>
        <v>0</v>
      </c>
      <c r="C66" s="522">
        <f>AB!C178</f>
        <v>0</v>
      </c>
      <c r="D66" s="522">
        <f>AB!D178</f>
        <v>0</v>
      </c>
      <c r="E66" s="522">
        <f>AB!E178</f>
        <v>0</v>
      </c>
      <c r="F66" s="522">
        <f>AB!F178</f>
        <v>0</v>
      </c>
      <c r="G66" s="522"/>
      <c r="H66" s="522"/>
      <c r="I66" s="523"/>
    </row>
    <row r="67" spans="1:13">
      <c r="A67" s="976">
        <f>IF(B67&gt;0,"Kindergeld",0)</f>
        <v>0</v>
      </c>
      <c r="B67" s="1335">
        <f t="shared" si="5"/>
        <v>0</v>
      </c>
      <c r="C67" s="522">
        <f>AB!C190</f>
        <v>0</v>
      </c>
      <c r="D67" s="522">
        <f>AB!D190</f>
        <v>0</v>
      </c>
      <c r="E67" s="522">
        <f>AB!E190</f>
        <v>0</v>
      </c>
      <c r="F67" s="522">
        <f>AB!F190</f>
        <v>0</v>
      </c>
      <c r="G67" s="522">
        <f>AB!G190</f>
        <v>0</v>
      </c>
      <c r="H67" s="522">
        <f>AB!H190</f>
        <v>0</v>
      </c>
      <c r="I67" s="523">
        <f>AB!I190</f>
        <v>0</v>
      </c>
    </row>
    <row r="68" spans="1:13">
      <c r="A68" s="976">
        <f>IF(B68&gt;0,"Unterhalt/Unterhaltsvorschuss",0)</f>
        <v>0</v>
      </c>
      <c r="B68" s="1335">
        <f t="shared" si="5"/>
        <v>0</v>
      </c>
      <c r="C68" s="522">
        <f>AB!C193</f>
        <v>0</v>
      </c>
      <c r="D68" s="522">
        <f>AB!D193</f>
        <v>0</v>
      </c>
      <c r="E68" s="522">
        <f>AB!E193</f>
        <v>0</v>
      </c>
      <c r="F68" s="522">
        <f>AB!F193</f>
        <v>0</v>
      </c>
      <c r="G68" s="522">
        <f>AB!G193</f>
        <v>0</v>
      </c>
      <c r="H68" s="522">
        <f>AB!H193</f>
        <v>0</v>
      </c>
      <c r="I68" s="523">
        <f>AB!I193</f>
        <v>0</v>
      </c>
    </row>
    <row r="69" spans="1:13">
      <c r="A69" s="976">
        <f>IF(B69&gt;0,AB!A194,0)</f>
        <v>0</v>
      </c>
      <c r="B69" s="1335">
        <f t="shared" si="5"/>
        <v>0</v>
      </c>
      <c r="C69" s="522">
        <f>AB!C194</f>
        <v>0</v>
      </c>
      <c r="D69" s="522">
        <f>AB!D194</f>
        <v>0</v>
      </c>
      <c r="E69" s="522">
        <f>AB!E194</f>
        <v>0</v>
      </c>
      <c r="F69" s="522">
        <f>AB!F194</f>
        <v>0</v>
      </c>
      <c r="G69" s="522">
        <f>AB!G194</f>
        <v>0</v>
      </c>
      <c r="H69" s="522">
        <f>AB!H194</f>
        <v>0</v>
      </c>
      <c r="I69" s="523">
        <f>AB!I194</f>
        <v>0</v>
      </c>
    </row>
    <row r="70" spans="1:13">
      <c r="A70" s="976">
        <f>IF(B70&gt;0,"Altersrente",0)</f>
        <v>0</v>
      </c>
      <c r="B70" s="1335">
        <f t="shared" si="5"/>
        <v>0</v>
      </c>
      <c r="C70" s="522">
        <f>AB!C195</f>
        <v>0</v>
      </c>
      <c r="D70" s="522">
        <f>AB!D195</f>
        <v>0</v>
      </c>
      <c r="E70" s="522">
        <f>AB!E195</f>
        <v>0</v>
      </c>
      <c r="F70" s="522">
        <f>AB!F195</f>
        <v>0</v>
      </c>
      <c r="G70" s="522">
        <f>AB!G195</f>
        <v>0</v>
      </c>
      <c r="H70" s="522">
        <f>AB!H195</f>
        <v>0</v>
      </c>
      <c r="I70" s="523">
        <f>AB!I195</f>
        <v>0</v>
      </c>
    </row>
    <row r="71" spans="1:13">
      <c r="A71" s="976">
        <f>IF(B71&gt;0,AB!A196,0)</f>
        <v>0</v>
      </c>
      <c r="B71" s="1335">
        <f t="shared" si="5"/>
        <v>0</v>
      </c>
      <c r="C71" s="522">
        <f>AB!C196</f>
        <v>0</v>
      </c>
      <c r="D71" s="522">
        <f>AB!D196</f>
        <v>0</v>
      </c>
      <c r="E71" s="522">
        <f>AB!E196</f>
        <v>0</v>
      </c>
      <c r="F71" s="522">
        <f>AB!F196</f>
        <v>0</v>
      </c>
      <c r="G71" s="522">
        <f>AB!G196</f>
        <v>0</v>
      </c>
      <c r="H71" s="522">
        <f>AB!H196</f>
        <v>0</v>
      </c>
      <c r="I71" s="523">
        <f>AB!I196</f>
        <v>0</v>
      </c>
    </row>
    <row r="72" spans="1:13" hidden="1">
      <c r="A72" s="976" t="str">
        <f>einmaligesEK!A11</f>
        <v>Steuererstattung</v>
      </c>
      <c r="B72" s="522"/>
      <c r="C72" s="1595">
        <f>einmaligesEK!C11</f>
        <v>0</v>
      </c>
      <c r="D72" s="1595">
        <f>einmaligesEK!D11</f>
        <v>0</v>
      </c>
      <c r="E72" s="1595">
        <f>einmaligesEK!E11</f>
        <v>0</v>
      </c>
      <c r="F72" s="1595">
        <f>einmaligesEK!F11</f>
        <v>0</v>
      </c>
      <c r="G72" s="1595">
        <f>einmaligesEK!G11</f>
        <v>0</v>
      </c>
      <c r="H72" s="1595">
        <f>einmaligesEK!H11</f>
        <v>0</v>
      </c>
      <c r="I72" s="1596">
        <f>einmaligesEK!I11</f>
        <v>0</v>
      </c>
      <c r="J72" s="1080"/>
    </row>
    <row r="73" spans="1:13">
      <c r="A73" s="1544">
        <f>IF(B73&gt;0,einmaligesEK!A11,0)</f>
        <v>0</v>
      </c>
      <c r="B73" s="1335">
        <f>SUM(C73:I73)</f>
        <v>0</v>
      </c>
      <c r="C73" s="522">
        <f>IF(AND(C72&gt;0,B!$B$161&lt;=0),(C72-einmaligesEK!C12)/6,C72)</f>
        <v>0</v>
      </c>
      <c r="D73" s="522">
        <f>IF(AND(D72&gt;0,B!$B$161&lt;=0),(D72-einmaligesEK!D12)/6,D72)</f>
        <v>0</v>
      </c>
      <c r="E73" s="522">
        <f>IF(AND(E72&gt;0,B!$B$161&lt;=0),(E72-einmaligesEK!E12)/6,E72)</f>
        <v>0</v>
      </c>
      <c r="F73" s="522">
        <f>IF(AND(F72&gt;0,B!$B$161&lt;=0),(F72-einmaligesEK!F12)/6,F72)</f>
        <v>0</v>
      </c>
      <c r="G73" s="522">
        <f>IF(AND(G72&gt;0,B!$B$161&lt;=0),(G72-einmaligesEK!G12)/6,G72)</f>
        <v>0</v>
      </c>
      <c r="H73" s="522">
        <f>IF(AND(H72&gt;0,B!$B$161&lt;=0),(H72-einmaligesEK!H12)/6,H72)</f>
        <v>0</v>
      </c>
      <c r="I73" s="523">
        <f>IF(AND(I72&gt;0,B!$B$161&lt;=0),(I72-einmaligesEK!I12)/6,I72)</f>
        <v>0</v>
      </c>
      <c r="J73" s="1080"/>
    </row>
    <row r="74" spans="1:13">
      <c r="A74" s="1601">
        <f>IF(AND(B73&gt;0,M74&gt;0),"Hinweis zur Einmalzahlung",0)</f>
        <v>0</v>
      </c>
      <c r="B74" s="522"/>
      <c r="C74" s="1598" t="str">
        <f t="shared" ref="C74:I74" si="6">IF(C73&lt;C72,"auf 6 Monate","")</f>
        <v/>
      </c>
      <c r="D74" s="1598" t="str">
        <f t="shared" si="6"/>
        <v/>
      </c>
      <c r="E74" s="1598" t="str">
        <f t="shared" si="6"/>
        <v/>
      </c>
      <c r="F74" s="1598" t="str">
        <f t="shared" si="6"/>
        <v/>
      </c>
      <c r="G74" s="1598" t="str">
        <f t="shared" si="6"/>
        <v/>
      </c>
      <c r="H74" s="1598" t="str">
        <f t="shared" si="6"/>
        <v/>
      </c>
      <c r="I74" s="1599" t="str">
        <f t="shared" si="6"/>
        <v/>
      </c>
      <c r="J74" s="1080"/>
      <c r="M74" s="1600">
        <f>COUNTIF(C74:I74,"auf 6 Monate")</f>
        <v>0</v>
      </c>
    </row>
    <row r="75" spans="1:13" ht="16.5" customHeight="1">
      <c r="A75" s="1602">
        <f>IF(B75&gt;0,AB!A197,0)</f>
        <v>0</v>
      </c>
      <c r="B75" s="1549">
        <f>SUM(C75:I75)</f>
        <v>0</v>
      </c>
      <c r="C75" s="1400">
        <f>AB!C197</f>
        <v>0</v>
      </c>
      <c r="D75" s="1400">
        <f>AB!D197</f>
        <v>0</v>
      </c>
      <c r="E75" s="1400">
        <f>AB!E197</f>
        <v>0</v>
      </c>
      <c r="F75" s="1400">
        <f>AB!F197</f>
        <v>0</v>
      </c>
      <c r="G75" s="1400">
        <f>AB!G197</f>
        <v>0</v>
      </c>
      <c r="H75" s="1400">
        <f>AB!H197</f>
        <v>0</v>
      </c>
      <c r="I75" s="1603">
        <f>AB!I197</f>
        <v>0</v>
      </c>
    </row>
    <row r="76" spans="1:13" hidden="1">
      <c r="A76" s="1248"/>
      <c r="B76" s="634"/>
      <c r="C76" s="634">
        <f t="shared" ref="C76:I76" si="7">C65+C66+C67+C68+C69+C70+C71+C73+C75</f>
        <v>0</v>
      </c>
      <c r="D76" s="634">
        <f t="shared" si="7"/>
        <v>0</v>
      </c>
      <c r="E76" s="634">
        <f t="shared" si="7"/>
        <v>0</v>
      </c>
      <c r="F76" s="634">
        <f t="shared" si="7"/>
        <v>0</v>
      </c>
      <c r="G76" s="634">
        <f t="shared" si="7"/>
        <v>0</v>
      </c>
      <c r="H76" s="634">
        <f t="shared" si="7"/>
        <v>0</v>
      </c>
      <c r="I76" s="635">
        <f t="shared" si="7"/>
        <v>0</v>
      </c>
    </row>
    <row r="77" spans="1:13">
      <c r="A77" s="1359" t="s">
        <v>208</v>
      </c>
      <c r="B77" s="1360">
        <f>SUM(C77:I77)</f>
        <v>0</v>
      </c>
      <c r="C77" s="1031">
        <f t="shared" ref="C77:I77" si="8">C55+C56+C59+C61+C62+C63+C64+C65+C66+C67+C68+C69+C70+C71+C73+C75</f>
        <v>0</v>
      </c>
      <c r="D77" s="1031">
        <f t="shared" si="8"/>
        <v>0</v>
      </c>
      <c r="E77" s="1031">
        <f t="shared" si="8"/>
        <v>0</v>
      </c>
      <c r="F77" s="1031">
        <f t="shared" si="8"/>
        <v>0</v>
      </c>
      <c r="G77" s="1031">
        <f t="shared" si="8"/>
        <v>0</v>
      </c>
      <c r="H77" s="1031">
        <f t="shared" si="8"/>
        <v>0</v>
      </c>
      <c r="I77" s="1032">
        <f t="shared" si="8"/>
        <v>0</v>
      </c>
    </row>
    <row r="78" spans="1:13" ht="16.5" hidden="1" customHeight="1">
      <c r="A78" s="1341"/>
      <c r="B78" s="522"/>
      <c r="C78" s="507">
        <f>IF(AND(AB!C160&gt;0,AB!C163=AB!C160),0,AB!C201)</f>
        <v>0</v>
      </c>
      <c r="D78" s="507">
        <f>IF(AND(AB!D160&gt;0,AB!D163=AB!D160),0,AB!D201)</f>
        <v>0</v>
      </c>
      <c r="E78" s="507">
        <f>IF(AND(AB!E160&gt;0,AB!E163=AB!E160),0,AB!E201)</f>
        <v>0</v>
      </c>
      <c r="F78" s="507">
        <f>IF(AND(AB!F160&gt;0,AB!F163=AB!F160),0,AB!F201)</f>
        <v>0</v>
      </c>
      <c r="G78" s="507">
        <f>IF(AND(AB!G160&gt;0,AB!G163=AB!G160),0,AB!G201)</f>
        <v>0</v>
      </c>
      <c r="H78" s="507">
        <f>IF(AND(AB!H160&gt;0,AB!H163=AB!H160),0,AB!H201)</f>
        <v>0</v>
      </c>
      <c r="I78" s="508">
        <f>IF(AND(AB!I160&gt;0,AB!I163=AB!I160),0,AB!I201)</f>
        <v>0</v>
      </c>
    </row>
    <row r="79" spans="1:13" ht="16.5" hidden="1" customHeight="1">
      <c r="A79" s="1341"/>
      <c r="B79" s="522"/>
      <c r="C79" s="507">
        <f>IF(AND(AB!C212&gt;C131,C87&lt;0),C78+C87,C78)</f>
        <v>0</v>
      </c>
      <c r="D79" s="507">
        <f>IF(AND(AB!D212&gt;D131,D87&lt;0),D78+D87,D78)</f>
        <v>0</v>
      </c>
      <c r="E79" s="507">
        <f>IF(AND(AB!E212&gt;E131,E87&lt;0),E78+E87,E78)</f>
        <v>0</v>
      </c>
      <c r="F79" s="507">
        <f>IF(AND(AB!F212&gt;F131,F87&lt;0),F78+F87,F78)</f>
        <v>0</v>
      </c>
      <c r="G79" s="507">
        <f>IF(AND(AB!G212&gt;G131,G87&lt;0),G78+G87,G78)</f>
        <v>0</v>
      </c>
      <c r="H79" s="507">
        <f>IF(AND(AB!H212&gt;H131,H87&lt;0),H78+H87,H78)</f>
        <v>0</v>
      </c>
      <c r="I79" s="508">
        <f>IF(AND(AB!I212&gt;I131,I87&lt;0),I78+I87,I78)</f>
        <v>0</v>
      </c>
    </row>
    <row r="80" spans="1:13" ht="16.5" hidden="1" customHeight="1">
      <c r="A80" s="1341"/>
      <c r="B80" s="522"/>
      <c r="C80" s="507">
        <f>IF(AND(C131&gt;0,AB!C212&lt;C131),0,C79)</f>
        <v>0</v>
      </c>
      <c r="D80" s="507">
        <f>IF(AND(D131&gt;0,AB!D212&lt;D131),0,D79)</f>
        <v>0</v>
      </c>
      <c r="E80" s="507">
        <f>IF(AND(E131&gt;0,AB!E212&lt;E131),0,E79)</f>
        <v>0</v>
      </c>
      <c r="F80" s="507">
        <f>IF(AND(F131&gt;0,AB!F212&lt;F131),0,F79)</f>
        <v>0</v>
      </c>
      <c r="G80" s="507">
        <f>IF(AND(G131&gt;0,AB!G212&lt;G131),0,G79)</f>
        <v>0</v>
      </c>
      <c r="H80" s="507">
        <f>IF(AND(H131&gt;0,AB!H212&lt;H131),0,H79)</f>
        <v>0</v>
      </c>
      <c r="I80" s="508">
        <f>IF(AND(I131&gt;0,AB!I212&lt;I131),0,I79)</f>
        <v>0</v>
      </c>
    </row>
    <row r="81" spans="1:11" ht="16.5" hidden="1" customHeight="1">
      <c r="A81" s="1341"/>
      <c r="B81" s="522"/>
      <c r="C81" s="507">
        <f>IF(C131=0,AB!C201,0)</f>
        <v>0</v>
      </c>
      <c r="D81" s="507">
        <f>IF(D131=0,AB!D201,0)</f>
        <v>0</v>
      </c>
      <c r="E81" s="507">
        <f>IF(E131=0,AB!E201,0)</f>
        <v>0</v>
      </c>
      <c r="F81" s="507">
        <f>IF(F131=0,AB!F201,0)</f>
        <v>0</v>
      </c>
      <c r="G81" s="507">
        <f>IF(G131=0,AB!G201,0)</f>
        <v>0</v>
      </c>
      <c r="H81" s="507">
        <f>IF(H131=0,AB!H201,0)</f>
        <v>0</v>
      </c>
      <c r="I81" s="508">
        <f>IF(I131=0,AB!I201,0)</f>
        <v>0</v>
      </c>
    </row>
    <row r="82" spans="1:11" ht="16.5" hidden="1" customHeight="1">
      <c r="A82" s="1341"/>
      <c r="B82" s="522"/>
      <c r="C82" s="507">
        <f t="shared" ref="C82:I82" si="9">IF(C81=30,C81,C80)</f>
        <v>0</v>
      </c>
      <c r="D82" s="507">
        <f t="shared" si="9"/>
        <v>0</v>
      </c>
      <c r="E82" s="507">
        <f t="shared" si="9"/>
        <v>0</v>
      </c>
      <c r="F82" s="507">
        <f t="shared" si="9"/>
        <v>0</v>
      </c>
      <c r="G82" s="507">
        <f t="shared" si="9"/>
        <v>0</v>
      </c>
      <c r="H82" s="507">
        <f t="shared" si="9"/>
        <v>0</v>
      </c>
      <c r="I82" s="508">
        <f t="shared" si="9"/>
        <v>0</v>
      </c>
    </row>
    <row r="83" spans="1:11" hidden="1">
      <c r="A83" s="976"/>
      <c r="B83" s="522">
        <f>SUM(C83:I83)</f>
        <v>0</v>
      </c>
      <c r="C83" s="1016">
        <f>IF(C77=0,0,IF(C82&lt;0,0,IF(AND(C134&gt;0,C54&lt;=400),0,IF(AND(C134&gt;0,AB!C141=0),0,IF(AND(C66&gt;0,C142=AB!C187,AB!C187&gt;0),0,C82)))))</f>
        <v>0</v>
      </c>
      <c r="D83" s="1016">
        <f>IF(D77=0,0,IF(D82&lt;0,0,IF(AND(D134&gt;0,D54&lt;=400),0,IF(AND(D134&gt;0,AB!D141=0),0,IF(AND(D66&gt;0,D142=AB!D187,AB!D187&gt;0),0,D82)))))</f>
        <v>0</v>
      </c>
      <c r="E83" s="1016">
        <f>IF(E77=0,0,IF(E82&lt;0,0,IF(AND(E134&gt;0,E54&lt;=400),0,IF(AND(E134&gt;0,AB!E141=0),0,IF(AND(E66&gt;0,E142=AB!E187,AB!E187&gt;0),0,E82)))))</f>
        <v>0</v>
      </c>
      <c r="F83" s="1016">
        <f>IF(F77=0,0,IF(F82&lt;0,0,IF(AND(F134&gt;0,F54&lt;=400),0,IF(AND(F134&gt;0,AB!F141=0),0,IF(AND(F66&gt;0,F142=AB!F187,AB!F187&gt;0),0,F82)))))</f>
        <v>0</v>
      </c>
      <c r="G83" s="1016">
        <f>IF(G77=0,0,IF(G82&lt;0,0,IF(AND(G134&gt;0,G54&lt;=400),0,IF(AND(G134&gt;0,AB!G141=0),0,IF(AND(G66&gt;0,G142=AB!G187,AB!G187&gt;0),0,G82)))))</f>
        <v>0</v>
      </c>
      <c r="H83" s="1016">
        <f>IF(H77=0,0,IF(H82&lt;0,0,IF(AND(H134&gt;0,H54&lt;=400),0,IF(AND(H134&gt;0,AB!H141=0),0,IF(AND(H66&gt;0,H142=AB!H187,AB!H187&gt;0),0,H82)))))</f>
        <v>0</v>
      </c>
      <c r="I83" s="1017">
        <f>IF(I77=0,0,IF(I82&lt;0,0,IF(AND(I134&gt;0,I54&lt;=400),0,IF(AND(I134&gt;0,AB!I141=0),0,IF(AND(I66&gt;0,I142=AB!I187,AB!I187&gt;0),0,I82)))))</f>
        <v>0</v>
      </c>
    </row>
    <row r="84" spans="1:11" hidden="1">
      <c r="A84" s="1604"/>
      <c r="B84" s="1361">
        <f>SUM(C84:I84)</f>
        <v>0</v>
      </c>
      <c r="C84" s="1039">
        <f>IF(AND(AB!C18&gt;17,C55=0,C59&gt;0,C60="auf 6 Monate",C61=0),30,C83)</f>
        <v>0</v>
      </c>
      <c r="D84" s="1039">
        <f>IF(AND(AB!D18&gt;17,D55=0,D59&gt;0,D60="auf 6 Monate",D61=0),30,D83)</f>
        <v>0</v>
      </c>
      <c r="E84" s="1039">
        <f>IF(AND(AB!E18&gt;17,E55=0,E59&gt;0,E60="auf 6 Monate",E61=0),30,E83)</f>
        <v>0</v>
      </c>
      <c r="F84" s="1039">
        <f>IF(AND(AB!F18&gt;17,F55=0,F59&gt;0,F60="auf 6 Monate",F61=0),30,F83)</f>
        <v>0</v>
      </c>
      <c r="G84" s="1039">
        <f>IF(AND(AB!G18&gt;17,G55=0,G59&gt;0,G60="auf 6 Monate",G61=0),30,G83)</f>
        <v>0</v>
      </c>
      <c r="H84" s="1039">
        <f>IF(AND(AB!H18&gt;17,H55=0,H59&gt;0,H60="auf 6 Monate",H61=0),30,H83)</f>
        <v>0</v>
      </c>
      <c r="I84" s="1039">
        <f>IF(AND(AB!I18&gt;17,I55=0,I59&gt;0,I60="auf 6 Monate",I61=0),30,I83)</f>
        <v>0</v>
      </c>
    </row>
    <row r="85" spans="1:11">
      <c r="A85" s="1362">
        <f>IF(B85&gt;0,"./. Versicherungspauschale",0)</f>
        <v>0</v>
      </c>
      <c r="B85" s="1331">
        <f>SUM(C85:I85)</f>
        <v>0</v>
      </c>
      <c r="C85" s="1363">
        <f t="shared" ref="C85:I85" si="10">IF(AND(C54&gt;0,C54+C57&lt;400,C60="auf 6 Monate"),0,C84)</f>
        <v>0</v>
      </c>
      <c r="D85" s="1363">
        <f t="shared" si="10"/>
        <v>0</v>
      </c>
      <c r="E85" s="1363">
        <f t="shared" si="10"/>
        <v>0</v>
      </c>
      <c r="F85" s="1363">
        <f t="shared" si="10"/>
        <v>0</v>
      </c>
      <c r="G85" s="1363">
        <f t="shared" si="10"/>
        <v>0</v>
      </c>
      <c r="H85" s="1363">
        <f t="shared" si="10"/>
        <v>0</v>
      </c>
      <c r="I85" s="1364">
        <f t="shared" si="10"/>
        <v>0</v>
      </c>
    </row>
    <row r="86" spans="1:11" hidden="1">
      <c r="A86" s="1341"/>
      <c r="B86" s="522"/>
      <c r="C86" s="507">
        <f>IF(AND(AB!C160&gt;0,AB!C163=AB!C160),0,AB!C202-AB!C160)</f>
        <v>0</v>
      </c>
      <c r="D86" s="507">
        <f>IF(AND(AB!D160&gt;0,AB!D163=AB!D160),0,AB!D202-AB!D160)</f>
        <v>0</v>
      </c>
      <c r="E86" s="507">
        <f>IF(AND(AB!E160&gt;0,AB!E163=AB!E160),0,AB!E202-AB!E160)</f>
        <v>0</v>
      </c>
      <c r="F86" s="507">
        <f>IF(AND(AB!F160&gt;0,AB!F163=AB!F160),0,AB!F202-AB!F160)</f>
        <v>0</v>
      </c>
      <c r="G86" s="507">
        <f>IF(AND(AB!G160&gt;0,AB!G163=AB!G160),0,AB!G202-AB!G160)</f>
        <v>0</v>
      </c>
      <c r="H86" s="507">
        <f>IF(AND(AB!H160&gt;0,AB!H163=AB!H160),0,AB!H202-AB!H160)</f>
        <v>0</v>
      </c>
      <c r="I86" s="508">
        <f>IF(AND(AB!I160&gt;0,AB!I163=AB!I160),0,AB!I202-AB!I160)</f>
        <v>0</v>
      </c>
    </row>
    <row r="87" spans="1:11" hidden="1">
      <c r="A87" s="1341"/>
      <c r="B87" s="522"/>
      <c r="C87" s="507">
        <f>IF(AND(C78&gt;0,C86&gt;AB!C202),AB!C202,C86)</f>
        <v>0</v>
      </c>
      <c r="D87" s="507">
        <f>IF(AND(D78&gt;0,D86&gt;AB!D202),AB!D202,D86)</f>
        <v>0</v>
      </c>
      <c r="E87" s="507">
        <f>IF(AND(E78&gt;0,E86&gt;AB!E202),AB!E202,E86)</f>
        <v>0</v>
      </c>
      <c r="F87" s="507">
        <f>IF(AND(F78&gt;0,F86&gt;AB!F202),AB!F202,F86)</f>
        <v>0</v>
      </c>
      <c r="G87" s="507">
        <f>IF(AND(G78&gt;0,G86&gt;AB!G202),AB!G202,G86)</f>
        <v>0</v>
      </c>
      <c r="H87" s="507">
        <f>IF(AND(H78&gt;0,H86&gt;AB!H202),AB!H202,H86)</f>
        <v>0</v>
      </c>
      <c r="I87" s="508">
        <f>IF(AND(I78&gt;0,I86&gt;AB!I202),AB!I202,I86)</f>
        <v>0</v>
      </c>
    </row>
    <row r="88" spans="1:11" hidden="1">
      <c r="A88" s="1341"/>
      <c r="B88" s="522"/>
      <c r="C88" s="507">
        <f>IF(C131=0,AB!C202,0)</f>
        <v>0</v>
      </c>
      <c r="D88" s="507">
        <f>IF(D131=0,AB!D202,0)</f>
        <v>0</v>
      </c>
      <c r="E88" s="507">
        <f>IF(E131=0,AB!E202,0)</f>
        <v>0</v>
      </c>
      <c r="F88" s="507">
        <f>IF(F131=0,AB!F202,0)</f>
        <v>0</v>
      </c>
      <c r="G88" s="507">
        <f>IF(G131=0,AB!G202,0)</f>
        <v>0</v>
      </c>
      <c r="H88" s="507">
        <f>IF(H131=0,AB!H202,0)</f>
        <v>0</v>
      </c>
      <c r="I88" s="508">
        <f>IF(I131=0,AB!I202,0)</f>
        <v>0</v>
      </c>
    </row>
    <row r="89" spans="1:11" hidden="1">
      <c r="A89" s="1341"/>
      <c r="B89" s="522"/>
      <c r="C89" s="507">
        <f>IF(C88=AB!C202,C88,C87)</f>
        <v>0</v>
      </c>
      <c r="D89" s="507">
        <f>IF(D88=AB!D202,D88,D87)</f>
        <v>0</v>
      </c>
      <c r="E89" s="507">
        <f>IF(E88=AB!E202,E88,E87)</f>
        <v>0</v>
      </c>
      <c r="F89" s="507">
        <f>IF(F88=AB!F202,F88,F87)</f>
        <v>0</v>
      </c>
      <c r="G89" s="507">
        <f>IF(G88=AB!G202,G88,G87)</f>
        <v>0</v>
      </c>
      <c r="H89" s="507">
        <f>IF(H88=AB!H202,H88,H87)</f>
        <v>0</v>
      </c>
      <c r="I89" s="508">
        <f>IF(I88=AB!I202,I88,I87)</f>
        <v>0</v>
      </c>
    </row>
    <row r="90" spans="1:11" hidden="1">
      <c r="A90" s="1341"/>
      <c r="B90" s="522"/>
      <c r="C90" s="1016">
        <f t="shared" ref="C90:I90" si="11">IF(OR(C89&lt;0,C77=0),0,C89)</f>
        <v>0</v>
      </c>
      <c r="D90" s="1016">
        <f t="shared" si="11"/>
        <v>0</v>
      </c>
      <c r="E90" s="1016">
        <f t="shared" si="11"/>
        <v>0</v>
      </c>
      <c r="F90" s="1016">
        <f t="shared" si="11"/>
        <v>0</v>
      </c>
      <c r="G90" s="1016">
        <f t="shared" si="11"/>
        <v>0</v>
      </c>
      <c r="H90" s="1016">
        <f t="shared" si="11"/>
        <v>0</v>
      </c>
      <c r="I90" s="1017">
        <f t="shared" si="11"/>
        <v>0</v>
      </c>
    </row>
    <row r="91" spans="1:11" hidden="1">
      <c r="A91" s="976"/>
      <c r="B91" s="522"/>
      <c r="C91" s="1016">
        <f>IF(AND(C134&gt;0,C54&lt;=400),0,IF(AND(C134&gt;0,AB!C141=0),0,IF(AND(C142=AB!C187,C66&gt;0,AB!C187&gt;0),0,C90)))</f>
        <v>0</v>
      </c>
      <c r="D91" s="1016">
        <f>IF(AND(D134&gt;0,D54&lt;=400),0,IF(AND(D134&gt;0,AB!D141=0),0,IF(AND(D142=AB!D187,D66&gt;0,AB!D187&gt;0),0,D90)))</f>
        <v>0</v>
      </c>
      <c r="E91" s="1016">
        <f>IF(AND(E134&gt;0,E54&lt;=400),0,IF(AND(E134&gt;0,AB!E141=0),0,IF(AND(E142=AB!E187,E66&gt;0,AB!E187&gt;0),0,E90)))</f>
        <v>0</v>
      </c>
      <c r="F91" s="1016">
        <f>IF(AND(F134&gt;0,F54&lt;=400),0,IF(AND(F134&gt;0,AB!F141=0),0,IF(AND(F142=AB!F187,F66&gt;0,AB!F187&gt;0),0,F90)))</f>
        <v>0</v>
      </c>
      <c r="G91" s="1016">
        <f>IF(AND(G134&gt;0,G54&lt;=400),0,IF(AND(G134&gt;0,AB!G141=0),0,IF(AND(G142=AB!G187,G66&gt;0,AB!G187&gt;0),0,G90)))</f>
        <v>0</v>
      </c>
      <c r="H91" s="1016">
        <f>IF(AND(H134&gt;0,H54&lt;=400),0,IF(AND(H134&gt;0,AB!H141=0),0,IF(AND(H142=AB!H187,H66&gt;0,AB!H187&gt;0),0,H90)))</f>
        <v>0</v>
      </c>
      <c r="I91" s="1017">
        <f>IF(AND(I134&gt;0,I54&lt;=400),0,IF(AND(I134&gt;0,AB!I141=0),0,IF(AND(I142=AB!I187,I66&gt;0,AB!I187&gt;0),0,I90)))</f>
        <v>0</v>
      </c>
      <c r="K91" s="563"/>
    </row>
    <row r="92" spans="1:11" hidden="1">
      <c r="A92" s="976"/>
      <c r="B92" s="522"/>
      <c r="C92" s="522">
        <f>IF(AND(C55=0,C59&gt;0,C60="auf 6 Monate",C61=0),AB!C202,C91)</f>
        <v>0</v>
      </c>
      <c r="D92" s="522">
        <f>IF(AND(D55=0,D59&gt;0,D60="auf 6 Monate",D61=0),AB!D202,D91)</f>
        <v>0</v>
      </c>
      <c r="E92" s="522">
        <f>IF(AND(E55=0,E59&gt;0,E60="auf 6 Monate",E61=0),AB!E202,E91)</f>
        <v>0</v>
      </c>
      <c r="F92" s="522">
        <f>IF(AND(F55=0,F59&gt;0,F60="auf 6 Monate",F61=0),AB!F202,F91)</f>
        <v>0</v>
      </c>
      <c r="G92" s="522">
        <f>IF(AND(G55=0,G59&gt;0,G60="auf 6 Monate",G61=0),AB!G202,G91)</f>
        <v>0</v>
      </c>
      <c r="H92" s="522">
        <f>IF(AND(H55=0,H59&gt;0,H60="auf 6 Monate",H61=0),AB!H202,H91)</f>
        <v>0</v>
      </c>
      <c r="I92" s="523">
        <f>IF(AND(I55=0,I59&gt;0,I60="auf 6 Monate",I61=0),AB!I202,I91)</f>
        <v>0</v>
      </c>
      <c r="K92" s="563"/>
    </row>
    <row r="93" spans="1:11">
      <c r="A93" s="976">
        <f>IF(B93&gt;0,"./. Kfz-Haftpflichtversicherung",0)</f>
        <v>0</v>
      </c>
      <c r="B93" s="1335">
        <f>SUM(C93:I93)</f>
        <v>0</v>
      </c>
      <c r="C93" s="1008">
        <f t="shared" ref="C93:I93" si="12">IF(C56=C77,0,IF(AND(C54&gt;0,C54+C57&lt;400,C60="auf 6 Monate"),0,C92))</f>
        <v>0</v>
      </c>
      <c r="D93" s="1008">
        <f t="shared" si="12"/>
        <v>0</v>
      </c>
      <c r="E93" s="1008">
        <f t="shared" si="12"/>
        <v>0</v>
      </c>
      <c r="F93" s="1008">
        <f t="shared" si="12"/>
        <v>0</v>
      </c>
      <c r="G93" s="1008">
        <f t="shared" si="12"/>
        <v>0</v>
      </c>
      <c r="H93" s="1008">
        <f t="shared" si="12"/>
        <v>0</v>
      </c>
      <c r="I93" s="1009">
        <f t="shared" si="12"/>
        <v>0</v>
      </c>
      <c r="K93" s="563"/>
    </row>
    <row r="94" spans="1:11" ht="18" hidden="1" customHeight="1">
      <c r="A94" s="1341"/>
      <c r="B94" s="507"/>
      <c r="C94" s="507">
        <f>IF(AND(AB!C160&gt;0,AB!C163=AB!C160),0,AB!C203)</f>
        <v>0</v>
      </c>
      <c r="D94" s="507">
        <f>IF(AND(AB!D160&gt;0,AB!D163=AB!D160),0,AB!D203)</f>
        <v>0</v>
      </c>
      <c r="E94" s="507">
        <f>IF(AND(AB!E160&gt;0,AB!E163=AB!E160),0,AB!E203)</f>
        <v>0</v>
      </c>
      <c r="F94" s="507">
        <f>IF(AND(AB!F160&gt;0,AB!F163=AB!F160),0,AB!F203)</f>
        <v>0</v>
      </c>
      <c r="G94" s="507">
        <f>IF(AND(AB!G160&gt;0,AB!G163=AB!G160),0,AB!G203)</f>
        <v>0</v>
      </c>
      <c r="H94" s="507">
        <f>IF(AND(AB!H160&gt;0,AB!H163=AB!H160),0,AB!H203)</f>
        <v>0</v>
      </c>
      <c r="I94" s="508">
        <f>IF(AND(AB!I160&gt;0,AB!I163=AB!I160),0,AB!I203)</f>
        <v>0</v>
      </c>
      <c r="K94" s="563"/>
    </row>
    <row r="95" spans="1:11" ht="18" hidden="1" customHeight="1">
      <c r="A95" s="1341"/>
      <c r="B95" s="507"/>
      <c r="C95" s="507">
        <f>IF(AND(AB!C212&gt;C131,C87&lt;&gt;AB!C202),C94,0)</f>
        <v>0</v>
      </c>
      <c r="D95" s="507">
        <f>IF(AND(AB!D212&gt;D131,D87&lt;&gt;AB!D202),D94,0)</f>
        <v>0</v>
      </c>
      <c r="E95" s="507">
        <f>IF(AND(AB!E212&gt;E131,E87&lt;&gt;AB!E202),E94,0)</f>
        <v>0</v>
      </c>
      <c r="F95" s="507">
        <f>IF(AND(AB!F212&gt;F131,F87&lt;&gt;AB!F202),F94,0)</f>
        <v>0</v>
      </c>
      <c r="G95" s="507">
        <f>IF(AND(AB!G212&gt;G131,G87&lt;&gt;AB!G202),G94,0)</f>
        <v>0</v>
      </c>
      <c r="H95" s="507">
        <f>IF(AND(AB!H212&gt;H131,H87&lt;&gt;AB!H202),H94,0)</f>
        <v>0</v>
      </c>
      <c r="I95" s="508">
        <f>IF(AND(AB!I212&gt;I131,I87&lt;&gt;AB!I202),I94,0)</f>
        <v>0</v>
      </c>
      <c r="K95" s="563"/>
    </row>
    <row r="96" spans="1:11" ht="18" hidden="1" customHeight="1">
      <c r="A96" s="1341"/>
      <c r="B96" s="507"/>
      <c r="C96" s="507">
        <f>IF(C131=0,AB!C203,0)</f>
        <v>0</v>
      </c>
      <c r="D96" s="507">
        <f>IF(D131=0,AB!D203,0)</f>
        <v>0</v>
      </c>
      <c r="E96" s="507">
        <f>IF(E131=0,AB!E203,0)</f>
        <v>0</v>
      </c>
      <c r="F96" s="507">
        <f>IF(F131=0,AB!F203,0)</f>
        <v>0</v>
      </c>
      <c r="G96" s="507">
        <f>IF(G131=0,AB!G203,0)</f>
        <v>0</v>
      </c>
      <c r="H96" s="507">
        <f>IF(H131=0,AB!H203,0)</f>
        <v>0</v>
      </c>
      <c r="I96" s="508">
        <f>IF(I131=0,AB!I203,0)</f>
        <v>0</v>
      </c>
      <c r="K96" s="563"/>
    </row>
    <row r="97" spans="1:9" ht="18" hidden="1" customHeight="1">
      <c r="A97" s="1341"/>
      <c r="B97" s="507"/>
      <c r="C97" s="507">
        <f>IF(C96=AB!C203,C96,C95)</f>
        <v>0</v>
      </c>
      <c r="D97" s="507">
        <f>IF(D96=AB!D203,D96,D95)</f>
        <v>0</v>
      </c>
      <c r="E97" s="507">
        <f>IF(E96=AB!E203,E96,E95)</f>
        <v>0</v>
      </c>
      <c r="F97" s="507">
        <f>IF(F96=AB!F203,F96,F95)</f>
        <v>0</v>
      </c>
      <c r="G97" s="507">
        <f>IF(G96=AB!G203,G96,G95)</f>
        <v>0</v>
      </c>
      <c r="H97" s="507">
        <f>IF(H96=AB!H203,H96,H95)</f>
        <v>0</v>
      </c>
      <c r="I97" s="508">
        <f>IF(I96=AB!I203,I96,I95)</f>
        <v>0</v>
      </c>
    </row>
    <row r="98" spans="1:9" ht="18" hidden="1" customHeight="1">
      <c r="A98" s="976"/>
      <c r="B98" s="507"/>
      <c r="C98" s="1016">
        <f>IF(C77=0,0,IF(AND(C134&gt;0,C54&lt;=400),0,IF(AND(C134&gt;0,AB!C141=0),0,IF(AND(C142=AB!C187,C66&gt;0,AB!C187&gt;0),0,C97))))</f>
        <v>0</v>
      </c>
      <c r="D98" s="1016">
        <f>IF(D77=0,0,IF(AND(D134&gt;0,D54&lt;=400),0,IF(AND(D134&gt;0,AB!D141=0),0,IF(AND(D142=AB!D187,D66&gt;0,AB!D187&gt;0),0,D97))))</f>
        <v>0</v>
      </c>
      <c r="E98" s="1016">
        <f>IF(E77=0,0,IF(AND(E134&gt;0,E54&lt;=400),0,IF(AND(E134&gt;0,AB!E141=0),0,IF(AND(E142=AB!E187,E66&gt;0,AB!E187&gt;0),0,E97))))</f>
        <v>0</v>
      </c>
      <c r="F98" s="1016">
        <f>IF(F77=0,0,IF(AND(F134&gt;0,F54&lt;=400),0,IF(AND(F134&gt;0,AB!F141=0),0,IF(AND(F142=AB!F187,F66&gt;0,AB!F187&gt;0),0,F97))))</f>
        <v>0</v>
      </c>
      <c r="G98" s="1016">
        <f>IF(G77=0,0,IF(AND(G134&gt;0,G54&lt;=400),0,IF(AND(G134&gt;0,AB!G141=0),0,IF(AND(G142=AB!G187,G66&gt;0,AB!G187&gt;0),0,G97))))</f>
        <v>0</v>
      </c>
      <c r="H98" s="1016">
        <f>IF(H77=0,0,IF(AND(H134&gt;0,H54&lt;=400),0,IF(AND(H134&gt;0,AB!H141=0),0,IF(AND(H142=AB!H187,H66&gt;0,AB!H187&gt;0),0,H97))))</f>
        <v>0</v>
      </c>
      <c r="I98" s="1017">
        <f>IF(I77=0,0,IF(AND(I134&gt;0,I54&lt;=400),0,IF(AND(I134&gt;0,AB!I141=0),0,IF(AND(I142=AB!I187,I66&gt;0,AB!I187&gt;0),0,I97))))</f>
        <v>0</v>
      </c>
    </row>
    <row r="99" spans="1:9" ht="18" hidden="1" customHeight="1">
      <c r="A99" s="976"/>
      <c r="B99" s="507"/>
      <c r="C99" s="522">
        <f>IF(AND(C55=0,C59&gt;0,C60="auf 6 Monate",C61=0),AB!C203,C98)</f>
        <v>0</v>
      </c>
      <c r="D99" s="522">
        <f>IF(AND(D55=0,D59&gt;0,D60="auf 6 Monate",D61=0),AB!D203,D98)</f>
        <v>0</v>
      </c>
      <c r="E99" s="522">
        <f>IF(AND(E55=0,E59&gt;0,E60="auf 6 Monate",E61=0),AB!E203,E98)</f>
        <v>0</v>
      </c>
      <c r="F99" s="522">
        <f>IF(AND(F55=0,F59&gt;0,F60="auf 6 Monate",F61=0),AB!F203,F98)</f>
        <v>0</v>
      </c>
      <c r="G99" s="522">
        <f>IF(AND(G55=0,G59&gt;0,G60="auf 6 Monate",G61=0),AB!G203,G98)</f>
        <v>0</v>
      </c>
      <c r="H99" s="522">
        <f>IF(AND(H55=0,H59&gt;0,H60="auf 6 Monate",H61=0),AB!H203,H98)</f>
        <v>0</v>
      </c>
      <c r="I99" s="523">
        <f>IF(AND(I55=0,I59&gt;0,I60="auf 6 Monate",I61=0),AB!I203,I98)</f>
        <v>0</v>
      </c>
    </row>
    <row r="100" spans="1:9" ht="18" customHeight="1">
      <c r="A100" s="976">
        <f>IF(B100&gt;0,"./. Beiträge für Krankheit/Alter/ZVK",0)</f>
        <v>0</v>
      </c>
      <c r="B100" s="1365">
        <f>SUM(C100:I100)</f>
        <v>0</v>
      </c>
      <c r="C100" s="1008">
        <f t="shared" ref="C100:I100" si="13">IF(C56=C77,0,IF(AND(C54&gt;0,C54+C57&lt;400,C60="auf 6 Monate"),0,C99))</f>
        <v>0</v>
      </c>
      <c r="D100" s="1008">
        <f t="shared" si="13"/>
        <v>0</v>
      </c>
      <c r="E100" s="1008">
        <f t="shared" si="13"/>
        <v>0</v>
      </c>
      <c r="F100" s="1008">
        <f t="shared" si="13"/>
        <v>0</v>
      </c>
      <c r="G100" s="1008">
        <f t="shared" si="13"/>
        <v>0</v>
      </c>
      <c r="H100" s="1008">
        <f t="shared" si="13"/>
        <v>0</v>
      </c>
      <c r="I100" s="1009">
        <f t="shared" si="13"/>
        <v>0</v>
      </c>
    </row>
    <row r="101" spans="1:9" ht="16.5" hidden="1" customHeight="1">
      <c r="A101" s="1341"/>
      <c r="B101" s="507"/>
      <c r="C101" s="507">
        <f>IF(AND(AB!C160&gt;0,AB!C163=AB!C160),0,AB!C210)</f>
        <v>0</v>
      </c>
      <c r="D101" s="507">
        <f>IF(AND(AB!D160&gt;0,AB!D163=AB!D160),0,AB!D210)</f>
        <v>0</v>
      </c>
      <c r="E101" s="507">
        <f>IF(AND(AB!E160&gt;0,AB!E163=AB!E160),0,AB!E210)</f>
        <v>0</v>
      </c>
      <c r="F101" s="507">
        <f>IF(AND(AB!F160&gt;0,AB!F163=AB!F160),0,AB!F210)</f>
        <v>0</v>
      </c>
      <c r="G101" s="507">
        <f>IF(AND(AB!G160&gt;0,AB!G163=AB!G160),0,AB!G210)</f>
        <v>0</v>
      </c>
      <c r="H101" s="507">
        <f>IF(AND(AB!H160&gt;0,AB!H163=AB!H160),0,AB!H210)</f>
        <v>0</v>
      </c>
      <c r="I101" s="508">
        <f>IF(AND(AB!I160&gt;0,AB!I163=AB!I160),0,AB!I210)</f>
        <v>0</v>
      </c>
    </row>
    <row r="102" spans="1:9" ht="16.5" hidden="1" customHeight="1">
      <c r="A102" s="1341"/>
      <c r="B102" s="507"/>
      <c r="C102" s="507">
        <f>IF(AND(AB!C212&gt;C131,C87&lt;&gt;AB!C202),C101,0)</f>
        <v>0</v>
      </c>
      <c r="D102" s="507">
        <f>IF(AND(AB!D212&gt;D131,D87&lt;&gt;AB!D202),D101,0)</f>
        <v>0</v>
      </c>
      <c r="E102" s="507">
        <f>IF(AND(AB!E212&gt;E131,E87&lt;&gt;AB!E202),E101,0)</f>
        <v>0</v>
      </c>
      <c r="F102" s="507">
        <f>IF(AND(AB!F212&gt;F131,F87&lt;&gt;AB!F202),F101,0)</f>
        <v>0</v>
      </c>
      <c r="G102" s="507">
        <f>IF(AND(AB!G212&gt;G131,G87&lt;&gt;AB!G202),G101,0)</f>
        <v>0</v>
      </c>
      <c r="H102" s="507">
        <f>IF(AND(AB!H212&gt;H131,H87&lt;&gt;AB!H202),H101,0)</f>
        <v>0</v>
      </c>
      <c r="I102" s="508">
        <f>IF(AND(AB!I212&gt;I131,I87&lt;&gt;AB!I202),I101,0)</f>
        <v>0</v>
      </c>
    </row>
    <row r="103" spans="1:9" ht="16.5" hidden="1" customHeight="1">
      <c r="A103" s="1341"/>
      <c r="B103" s="507"/>
      <c r="C103" s="507">
        <f>IF(C131=0,AB!C210,0)</f>
        <v>0</v>
      </c>
      <c r="D103" s="507">
        <f>IF(D131=0,AB!D210,0)</f>
        <v>0</v>
      </c>
      <c r="E103" s="507">
        <f>IF(E131=0,AB!E210,0)</f>
        <v>0</v>
      </c>
      <c r="F103" s="507">
        <f>IF(F131=0,AB!F210,0)</f>
        <v>0</v>
      </c>
      <c r="G103" s="507">
        <f>IF(G131=0,AB!G210,0)</f>
        <v>0</v>
      </c>
      <c r="H103" s="507">
        <f>IF(H131=0,AB!H210,0)</f>
        <v>0</v>
      </c>
      <c r="I103" s="508">
        <f>IF(I131=0,AB!I210,0)</f>
        <v>0</v>
      </c>
    </row>
    <row r="104" spans="1:9" ht="16.5" hidden="1" customHeight="1">
      <c r="A104" s="1341"/>
      <c r="B104" s="507"/>
      <c r="C104" s="507">
        <f>IF(C103=AB!C210,C103,C102)</f>
        <v>0</v>
      </c>
      <c r="D104" s="507">
        <f>IF(D103=AB!D210,D103,D102)</f>
        <v>0</v>
      </c>
      <c r="E104" s="507">
        <f>IF(E103=AB!E210,E103,E102)</f>
        <v>0</v>
      </c>
      <c r="F104" s="507">
        <f>IF(F103=AB!F210,F103,F102)</f>
        <v>0</v>
      </c>
      <c r="G104" s="507">
        <f>IF(G103=AB!G210,G103,G102)</f>
        <v>0</v>
      </c>
      <c r="H104" s="507">
        <f>IF(H103=AB!H210,H103,H102)</f>
        <v>0</v>
      </c>
      <c r="I104" s="508">
        <f>IF(I103=AB!I210,I103,I102)</f>
        <v>0</v>
      </c>
    </row>
    <row r="105" spans="1:9" hidden="1">
      <c r="A105" s="976"/>
      <c r="B105" s="507"/>
      <c r="C105" s="1016">
        <f>IF(C77=0,0,IF(AND(C134&gt;0,C54&lt;=400),0,IF(AND(C134&gt;0,AB!C141=0),0,IF(AND(C142=AB!C187,C66&gt;0,AB!C187&gt;0),0,C104))))</f>
        <v>0</v>
      </c>
      <c r="D105" s="1016">
        <f>IF(D77=0,0,IF(AND(D134&gt;0,D54&lt;=400),0,IF(AND(D134&gt;0,AB!D141=0),0,IF(AND(D142=AB!D187,D66&gt;0,AB!D187&gt;0),0,D104))))</f>
        <v>0</v>
      </c>
      <c r="E105" s="1016">
        <f>IF(E77=0,0,IF(AND(E134&gt;0,E54&lt;=400),0,IF(AND(E134&gt;0,AB!E141=0),0,IF(AND(E142=AB!E187,E66&gt;0,AB!E187&gt;0),0,E104))))</f>
        <v>0</v>
      </c>
      <c r="F105" s="1016">
        <f>IF(F77=0,0,IF(AND(F134&gt;0,F54&lt;=400),0,IF(AND(F134&gt;0,AB!F141=0),0,IF(AND(F142=AB!F187,F66&gt;0,AB!F187&gt;0),0,F104))))</f>
        <v>0</v>
      </c>
      <c r="G105" s="1016">
        <f>IF(G77=0,0,IF(AND(G134&gt;0,G54&lt;=400),0,IF(AND(G134&gt;0,AB!G141=0),0,IF(AND(G142=AB!G187,G66&gt;0,AB!G187&gt;0),0,G104))))</f>
        <v>0</v>
      </c>
      <c r="H105" s="1016">
        <f>IF(H77=0,0,IF(AND(H134&gt;0,H54&lt;=400),0,IF(AND(H134&gt;0,AB!H141=0),0,IF(AND(H142=AB!H187,H66&gt;0,AB!H187&gt;0),0,H104))))</f>
        <v>0</v>
      </c>
      <c r="I105" s="1017">
        <f>IF(I77=0,0,IF(AND(I134&gt;0,I54&lt;=400),0,IF(AND(I134&gt;0,AB!I141=0),0,IF(AND(I142=AB!I187,I66&gt;0,AB!I187&gt;0),0,I104))))</f>
        <v>0</v>
      </c>
    </row>
    <row r="106" spans="1:9" hidden="1">
      <c r="A106" s="976"/>
      <c r="B106" s="507"/>
      <c r="C106" s="522">
        <f>IF(AND(C55=0,C59&gt;0,C60="auf 6 Monate",C61=0),AB!C210,C105)</f>
        <v>0</v>
      </c>
      <c r="D106" s="522">
        <f>IF(AND(D55=0,D59&gt;0,D60="auf 6 Monate",D61=0),AB!D210,D105)</f>
        <v>0</v>
      </c>
      <c r="E106" s="522">
        <f>IF(AND(E55=0,E59&gt;0,E60="auf 6 Monate",E61=0),AB!E210,E105)</f>
        <v>0</v>
      </c>
      <c r="F106" s="522">
        <f>IF(AND(F55=0,F59&gt;0,F60="auf 6 Monate",F61=0),AB!F210,F105)</f>
        <v>0</v>
      </c>
      <c r="G106" s="522">
        <f>IF(AND(G55=0,G59&gt;0,G60="auf 6 Monate",G61=0),AB!G210,G105)</f>
        <v>0</v>
      </c>
      <c r="H106" s="522">
        <f>IF(AND(H55=0,H59&gt;0,H60="auf 6 Monate",H61=0),AB!H210,H105)</f>
        <v>0</v>
      </c>
      <c r="I106" s="523">
        <f>IF(AND(I55=0,I59&gt;0,I60="auf 6 Monate",I61=0),AB!I210,I105)</f>
        <v>0</v>
      </c>
    </row>
    <row r="107" spans="1:9">
      <c r="A107" s="976">
        <f>IF(B107&gt;0,"./. Beiträge Riester-Rente",0)</f>
        <v>0</v>
      </c>
      <c r="B107" s="1365">
        <f>SUM(C107:I107)</f>
        <v>0</v>
      </c>
      <c r="C107" s="1008">
        <f t="shared" ref="C107:I107" si="14">IF(C56=C77,0,IF(AND(C54&gt;0,C54+C57&lt;400,C60="auf 6 Monate"),0,C106))</f>
        <v>0</v>
      </c>
      <c r="D107" s="1008">
        <f t="shared" si="14"/>
        <v>0</v>
      </c>
      <c r="E107" s="1008">
        <f t="shared" si="14"/>
        <v>0</v>
      </c>
      <c r="F107" s="1008">
        <f t="shared" si="14"/>
        <v>0</v>
      </c>
      <c r="G107" s="1008">
        <f t="shared" si="14"/>
        <v>0</v>
      </c>
      <c r="H107" s="1008">
        <f t="shared" si="14"/>
        <v>0</v>
      </c>
      <c r="I107" s="1009">
        <f t="shared" si="14"/>
        <v>0</v>
      </c>
    </row>
    <row r="108" spans="1:9" hidden="1">
      <c r="A108" s="976"/>
      <c r="B108" s="507"/>
      <c r="C108" s="507">
        <f>IF(AND(AB!C160&gt;0,AB!C163=AB!C160),0,AB!C127)</f>
        <v>0</v>
      </c>
      <c r="D108" s="507">
        <f>IF(AND(AB!D160&gt;0,AB!D163=AB!D160),0,AB!D127)</f>
        <v>0</v>
      </c>
      <c r="E108" s="507">
        <f>IF(AND(AB!E160&gt;0,AB!E163=AB!E160),0,AB!E127)</f>
        <v>0</v>
      </c>
      <c r="F108" s="507">
        <f>IF(AND(AB!F160&gt;0,AB!F163=AB!F160),0,AB!F127)</f>
        <v>0</v>
      </c>
      <c r="G108" s="507">
        <f>IF(AND(AB!G160&gt;0,AB!G163=AB!G160),0,AB!G127)</f>
        <v>0</v>
      </c>
      <c r="H108" s="507">
        <f>IF(AND(AB!H160&gt;0,AB!H163=AB!H160),0,AB!H127)</f>
        <v>0</v>
      </c>
      <c r="I108" s="508">
        <f>IF(AND(AB!I160&gt;0,AB!I163=AB!I160),0,AB!I127)</f>
        <v>0</v>
      </c>
    </row>
    <row r="109" spans="1:9" hidden="1">
      <c r="A109" s="1366"/>
      <c r="B109" s="507"/>
      <c r="C109" s="507">
        <f>IF(AND(AB!C212&gt;C131,C87&lt;&gt;AB!C127),C108,0)</f>
        <v>0</v>
      </c>
      <c r="D109" s="507">
        <f>IF(AND(AB!D212&gt;D131,D87&lt;&gt;AB!D127),D108,0)</f>
        <v>0</v>
      </c>
      <c r="E109" s="507">
        <f>IF(AND(AB!E212&gt;E131,E87&lt;&gt;AB!E127),E108,0)</f>
        <v>0</v>
      </c>
      <c r="F109" s="507">
        <f>IF(AND(AB!F212&gt;F131,F87&lt;&gt;AB!F127),F108,0)</f>
        <v>0</v>
      </c>
      <c r="G109" s="507">
        <f>IF(AND(AB!G212&gt;G131,G87&lt;&gt;AB!G127),G108,0)</f>
        <v>0</v>
      </c>
      <c r="H109" s="507">
        <f>IF(AND(AB!H212&gt;H131,H87&lt;&gt;AB!H127),H108,0)</f>
        <v>0</v>
      </c>
      <c r="I109" s="508">
        <f>IF(AND(AB!I212&gt;I131,I87&lt;&gt;AB!I127),I108,0)</f>
        <v>0</v>
      </c>
    </row>
    <row r="110" spans="1:9" hidden="1">
      <c r="A110" s="976"/>
      <c r="B110" s="507"/>
      <c r="C110" s="507">
        <f>IF(C131=0,AB!C127,0)</f>
        <v>0</v>
      </c>
      <c r="D110" s="507">
        <f>IF(D131=0,AB!D127,0)</f>
        <v>0</v>
      </c>
      <c r="E110" s="507">
        <f>IF(E131=0,AB!E127,0)</f>
        <v>0</v>
      </c>
      <c r="F110" s="507">
        <f>IF(F131=0,AB!F127,0)</f>
        <v>0</v>
      </c>
      <c r="G110" s="507">
        <f>IF(G131=0,AB!G127,0)</f>
        <v>0</v>
      </c>
      <c r="H110" s="507">
        <f>IF(H131=0,AB!H127,0)</f>
        <v>0</v>
      </c>
      <c r="I110" s="508">
        <f>IF(I131=0,AB!I127,0)</f>
        <v>0</v>
      </c>
    </row>
    <row r="111" spans="1:9" hidden="1">
      <c r="A111" s="976"/>
      <c r="B111" s="507"/>
      <c r="C111" s="507">
        <f>IF(C110=AB!C127,C110,C109)</f>
        <v>0</v>
      </c>
      <c r="D111" s="507">
        <f>IF(D110=AB!D127,D110,D109)</f>
        <v>0</v>
      </c>
      <c r="E111" s="507">
        <f>IF(E110=AB!E127,E110,E109)</f>
        <v>0</v>
      </c>
      <c r="F111" s="507">
        <f>IF(F110=AB!F127,F110,F109)</f>
        <v>0</v>
      </c>
      <c r="G111" s="507">
        <f>IF(G110=AB!G127,G110,G109)</f>
        <v>0</v>
      </c>
      <c r="H111" s="507">
        <f>IF(H110=AB!H127,H110,H109)</f>
        <v>0</v>
      </c>
      <c r="I111" s="508">
        <f>IF(I110=AB!I127,I110,I109)</f>
        <v>0</v>
      </c>
    </row>
    <row r="112" spans="1:9" hidden="1">
      <c r="A112" s="1366"/>
      <c r="B112" s="507"/>
      <c r="C112" s="507">
        <f>IF(AB!C140=0,0,C111)</f>
        <v>0</v>
      </c>
      <c r="D112" s="507">
        <f>IF(AB!D140=0,0,D111)</f>
        <v>0</v>
      </c>
      <c r="E112" s="507">
        <f>IF(AB!E140=0,0,E111)</f>
        <v>0</v>
      </c>
      <c r="F112" s="507">
        <f>IF(AB!F140=0,0,F111)</f>
        <v>0</v>
      </c>
      <c r="G112" s="507">
        <f>IF(AB!G140=0,0,G111)</f>
        <v>0</v>
      </c>
      <c r="H112" s="507">
        <f>IF(AB!H140=0,0,H111)</f>
        <v>0</v>
      </c>
      <c r="I112" s="508">
        <f>IF(AB!I140=0,0,I111)</f>
        <v>0</v>
      </c>
    </row>
    <row r="113" spans="1:9" hidden="1">
      <c r="A113" s="976"/>
      <c r="B113" s="522"/>
      <c r="C113" s="1016">
        <f t="shared" ref="C113:I113" si="15">IF(AND(C134&gt;0,C54&lt;=400),0,IF(C82&lt;0,C112+C82,IF(C77=0,0,C112)))</f>
        <v>0</v>
      </c>
      <c r="D113" s="1016">
        <f t="shared" si="15"/>
        <v>0</v>
      </c>
      <c r="E113" s="1016">
        <f t="shared" si="15"/>
        <v>0</v>
      </c>
      <c r="F113" s="1016">
        <f t="shared" si="15"/>
        <v>0</v>
      </c>
      <c r="G113" s="1016">
        <f t="shared" si="15"/>
        <v>0</v>
      </c>
      <c r="H113" s="1016">
        <f t="shared" si="15"/>
        <v>0</v>
      </c>
      <c r="I113" s="1017">
        <f t="shared" si="15"/>
        <v>0</v>
      </c>
    </row>
    <row r="114" spans="1:9">
      <c r="A114" s="976">
        <f>IF(B114&gt;0,"./. Fahrtkosten",0)</f>
        <v>0</v>
      </c>
      <c r="B114" s="1335">
        <f>SUM(C114:I114)</f>
        <v>0</v>
      </c>
      <c r="C114" s="1008">
        <f t="shared" ref="C114:I114" si="16">IF(AND(C54+C57&lt;400,C60="auf 6 Monate"),0,C113)</f>
        <v>0</v>
      </c>
      <c r="D114" s="1008">
        <f t="shared" si="16"/>
        <v>0</v>
      </c>
      <c r="E114" s="1008">
        <f t="shared" si="16"/>
        <v>0</v>
      </c>
      <c r="F114" s="1008">
        <f t="shared" si="16"/>
        <v>0</v>
      </c>
      <c r="G114" s="1008">
        <f t="shared" si="16"/>
        <v>0</v>
      </c>
      <c r="H114" s="1008">
        <f t="shared" si="16"/>
        <v>0</v>
      </c>
      <c r="I114" s="1009">
        <f t="shared" si="16"/>
        <v>0</v>
      </c>
    </row>
    <row r="115" spans="1:9" hidden="1">
      <c r="A115" s="976"/>
      <c r="B115" s="522"/>
      <c r="C115" s="507">
        <f>IF(AND(AB!C160&gt;0,AB!C163=AB!C160),0,AB!C124)</f>
        <v>0</v>
      </c>
      <c r="D115" s="507">
        <f>IF(AND(AB!D160&gt;0,AB!D163=AB!D160),0,AB!D124)</f>
        <v>0</v>
      </c>
      <c r="E115" s="507">
        <f>IF(AND(AB!E160&gt;0,AB!E163=AB!E160),0,AB!E124)</f>
        <v>0</v>
      </c>
      <c r="F115" s="507">
        <f>IF(AND(AB!F160&gt;0,AB!F163=AB!F160),0,AB!F124)</f>
        <v>0</v>
      </c>
      <c r="G115" s="507">
        <f>IF(AND(AB!G160&gt;0,AB!G163=AB!G160),0,AB!G124)</f>
        <v>0</v>
      </c>
      <c r="H115" s="507">
        <f>IF(AND(AB!H160&gt;0,AB!H163=AB!H160),0,AB!H124)</f>
        <v>0</v>
      </c>
      <c r="I115" s="508">
        <f>IF(AND(AB!I160&gt;0,AB!I163=AB!I160),0,AB!I124)</f>
        <v>0</v>
      </c>
    </row>
    <row r="116" spans="1:9" hidden="1">
      <c r="A116" s="1366"/>
      <c r="B116" s="522"/>
      <c r="C116" s="507">
        <f>IF(AND(AB!C212&gt;C131,C87&lt;&gt;AB!C124),C115,0)</f>
        <v>0</v>
      </c>
      <c r="D116" s="507">
        <f>IF(AND(AB!D212&gt;D131,D87&lt;&gt;AB!D124),D115,0)</f>
        <v>0</v>
      </c>
      <c r="E116" s="507">
        <f>IF(AND(AB!E212&gt;E131,E87&lt;&gt;AB!E124),E115,0)</f>
        <v>0</v>
      </c>
      <c r="F116" s="507">
        <f>IF(AND(AB!F212&gt;F131,F87&lt;&gt;AB!F124),F115,0)</f>
        <v>0</v>
      </c>
      <c r="G116" s="507">
        <f>IF(AND(AB!G212&gt;G131,G87&lt;&gt;AB!G124),G115,0)</f>
        <v>0</v>
      </c>
      <c r="H116" s="507">
        <f>IF(AND(AB!H212&gt;H131,H87&lt;&gt;AB!H124),H115,0)</f>
        <v>0</v>
      </c>
      <c r="I116" s="508">
        <f>IF(AND(AB!I212&gt;I131,I87&lt;&gt;AB!I124),I115,0)</f>
        <v>0</v>
      </c>
    </row>
    <row r="117" spans="1:9" hidden="1">
      <c r="A117" s="976"/>
      <c r="B117" s="522"/>
      <c r="C117" s="507">
        <f>IF(C131=0,AB!C124,0)</f>
        <v>0</v>
      </c>
      <c r="D117" s="507">
        <f>IF(D131=0,AB!D124,0)</f>
        <v>0</v>
      </c>
      <c r="E117" s="507">
        <f>IF(E131=0,AB!E124,0)</f>
        <v>0</v>
      </c>
      <c r="F117" s="507">
        <f>IF(F131=0,AB!F124,0)</f>
        <v>0</v>
      </c>
      <c r="G117" s="507">
        <f>IF(G131=0,AB!G124,0)</f>
        <v>0</v>
      </c>
      <c r="H117" s="507">
        <f>IF(H131=0,AB!H124,0)</f>
        <v>0</v>
      </c>
      <c r="I117" s="508">
        <f>IF(I131=0,AB!I124,0)</f>
        <v>0</v>
      </c>
    </row>
    <row r="118" spans="1:9" hidden="1">
      <c r="A118" s="976"/>
      <c r="B118" s="522"/>
      <c r="C118" s="507">
        <f>IF(C117=AB!C124,C117,C115)</f>
        <v>0</v>
      </c>
      <c r="D118" s="507">
        <f>IF(D117=AB!D124,D117,D115)</f>
        <v>0</v>
      </c>
      <c r="E118" s="507">
        <f>IF(E117=AB!E124,E117,E115)</f>
        <v>0</v>
      </c>
      <c r="F118" s="507">
        <f>IF(F117=AB!F124,F117,F115)</f>
        <v>0</v>
      </c>
      <c r="G118" s="507">
        <f>IF(G117=AB!G124,G117,G115)</f>
        <v>0</v>
      </c>
      <c r="H118" s="507">
        <f>IF(H117=AB!H124,H117,H115)</f>
        <v>0</v>
      </c>
      <c r="I118" s="508">
        <f>IF(I117=AB!I124,I117,I115)</f>
        <v>0</v>
      </c>
    </row>
    <row r="119" spans="1:9" hidden="1">
      <c r="A119" s="1366"/>
      <c r="B119" s="522"/>
      <c r="C119" s="507">
        <f>IF(AB!C140=0,0,C118)</f>
        <v>0</v>
      </c>
      <c r="D119" s="507">
        <f>IF(AB!D140=0,0,D118)</f>
        <v>0</v>
      </c>
      <c r="E119" s="507">
        <f>IF(AB!E140=0,0,E118)</f>
        <v>0</v>
      </c>
      <c r="F119" s="507">
        <f>IF(AB!F140=0,0,F118)</f>
        <v>0</v>
      </c>
      <c r="G119" s="507">
        <f>IF(AB!G140=0,0,G118)</f>
        <v>0</v>
      </c>
      <c r="H119" s="507">
        <f>IF(AB!H140=0,0,H118)</f>
        <v>0</v>
      </c>
      <c r="I119" s="508">
        <f>IF(AB!I140=0,0,I118)</f>
        <v>0</v>
      </c>
    </row>
    <row r="120" spans="1:9" hidden="1">
      <c r="A120" s="976"/>
      <c r="B120" s="522"/>
      <c r="C120" s="1367">
        <f t="shared" ref="C120:I120" si="17">IF(AND(C134&gt;0,C54&lt;=400),0,IF(C77=0,0,C119))</f>
        <v>0</v>
      </c>
      <c r="D120" s="1367">
        <f t="shared" si="17"/>
        <v>0</v>
      </c>
      <c r="E120" s="1367">
        <f t="shared" si="17"/>
        <v>0</v>
      </c>
      <c r="F120" s="1367">
        <f t="shared" si="17"/>
        <v>0</v>
      </c>
      <c r="G120" s="1367">
        <f t="shared" si="17"/>
        <v>0</v>
      </c>
      <c r="H120" s="1367">
        <f t="shared" si="17"/>
        <v>0</v>
      </c>
      <c r="I120" s="1368">
        <f t="shared" si="17"/>
        <v>0</v>
      </c>
    </row>
    <row r="121" spans="1:9">
      <c r="A121" s="976">
        <f>IF(B121&gt;0,"./. Verpflegungsmehraufwand",0)</f>
        <v>0</v>
      </c>
      <c r="B121" s="1335">
        <f>SUM(C121:I121)</f>
        <v>0</v>
      </c>
      <c r="C121" s="1008">
        <f t="shared" ref="C121:I121" si="18">IF(AND(C54+C57&lt;400,C60="auf 6 Monate"),0,C120)</f>
        <v>0</v>
      </c>
      <c r="D121" s="1008">
        <f t="shared" si="18"/>
        <v>0</v>
      </c>
      <c r="E121" s="1008">
        <f t="shared" si="18"/>
        <v>0</v>
      </c>
      <c r="F121" s="1008">
        <f t="shared" si="18"/>
        <v>0</v>
      </c>
      <c r="G121" s="1008">
        <f t="shared" si="18"/>
        <v>0</v>
      </c>
      <c r="H121" s="1008">
        <f t="shared" si="18"/>
        <v>0</v>
      </c>
      <c r="I121" s="1009">
        <f t="shared" si="18"/>
        <v>0</v>
      </c>
    </row>
    <row r="122" spans="1:9" hidden="1">
      <c r="A122" s="976"/>
      <c r="B122" s="522"/>
      <c r="C122" s="507">
        <f>IF(AND(AB!C160&gt;0,AB!C163=AB!C160),0,AB!C148)</f>
        <v>0</v>
      </c>
      <c r="D122" s="507">
        <f>IF(AND(AB!D160&gt;0,AB!D163=AB!D160),0,AB!D148)</f>
        <v>0</v>
      </c>
      <c r="E122" s="507">
        <f>IF(AND(AB!E160&gt;0,AB!E163=AB!E160),0,AB!E148)</f>
        <v>0</v>
      </c>
      <c r="F122" s="507">
        <f>IF(AND(AB!F160&gt;0,AB!F163=AB!F160),0,AB!F148)</f>
        <v>0</v>
      </c>
      <c r="G122" s="507">
        <f>IF(AND(AB!G160&gt;0,AB!G163=AB!G160),0,AB!G148)</f>
        <v>0</v>
      </c>
      <c r="H122" s="507">
        <f>IF(AND(AB!H160&gt;0,AB!H163=AB!H160),0,AB!H148)</f>
        <v>0</v>
      </c>
      <c r="I122" s="508">
        <f>IF(AND(AB!I160&gt;0,AB!I163=AB!I160),0,AB!I148)</f>
        <v>0</v>
      </c>
    </row>
    <row r="123" spans="1:9" hidden="1">
      <c r="A123" s="976"/>
      <c r="B123" s="522"/>
      <c r="C123" s="507">
        <f>IF(C131=0,AB!C148,0)</f>
        <v>0</v>
      </c>
      <c r="D123" s="507">
        <f>IF(D131=0,AB!D148,0)</f>
        <v>0</v>
      </c>
      <c r="E123" s="507">
        <f>IF(E131=0,AB!E148,0)</f>
        <v>0</v>
      </c>
      <c r="F123" s="507">
        <f>IF(F131=0,AB!F148,0)</f>
        <v>0</v>
      </c>
      <c r="G123" s="507">
        <f>IF(G131=0,AB!G148,0)</f>
        <v>0</v>
      </c>
      <c r="H123" s="507">
        <f>IF(H131=0,AB!H148,0)</f>
        <v>0</v>
      </c>
      <c r="I123" s="508">
        <f>IF(I131=0,AB!I148,0)</f>
        <v>0</v>
      </c>
    </row>
    <row r="124" spans="1:9" hidden="1">
      <c r="A124" s="1341"/>
      <c r="B124" s="522"/>
      <c r="C124" s="507">
        <f t="shared" ref="C124:I124" si="19">IF(C123&gt;0,C123,C122)</f>
        <v>0</v>
      </c>
      <c r="D124" s="507">
        <f t="shared" si="19"/>
        <v>0</v>
      </c>
      <c r="E124" s="507">
        <f t="shared" si="19"/>
        <v>0</v>
      </c>
      <c r="F124" s="507">
        <f t="shared" si="19"/>
        <v>0</v>
      </c>
      <c r="G124" s="507">
        <f t="shared" si="19"/>
        <v>0</v>
      </c>
      <c r="H124" s="507">
        <f t="shared" si="19"/>
        <v>0</v>
      </c>
      <c r="I124" s="508">
        <f t="shared" si="19"/>
        <v>0</v>
      </c>
    </row>
    <row r="125" spans="1:9">
      <c r="A125" s="1339">
        <f>IF(B125&gt;0,"./. Werbungskosten bei Erwerbstätigkeit",0)</f>
        <v>0</v>
      </c>
      <c r="B125" s="1335">
        <f>SUM(C125:I125)</f>
        <v>0</v>
      </c>
      <c r="C125" s="507">
        <f>IF(AND(C134&gt;0,C54&lt;=400),0,IF(AND(C63&gt;200,AB!C158&gt;AB!C156),AB!C147,IF(AND($A$62="Gewinn aus selbständiger Tätigkeit",C62&gt;0),0,IF(AND(C54&lt;100,C63&lt;200,C76&gt;0),0,IF(AND(C54+C57&lt;400,C60="auf 6 Monate"),0,C124)))))</f>
        <v>0</v>
      </c>
      <c r="D125" s="507">
        <f>IF(AND(D134&gt;0,D54&lt;=400),0,IF(AND(D63&gt;200,AB!D158&gt;AB!D156),AB!D147,IF(AND($A$62="Gewinn aus selbständiger Tätigkeit",D62&gt;0),0,IF(AND(D54&lt;100,D63&lt;200,D76&gt;0),0,IF(AND(D54+D57&lt;400,D60="auf 6 Monate"),0,D124)))))</f>
        <v>0</v>
      </c>
      <c r="E125" s="507">
        <f>IF(AND(E134&gt;0,E54&lt;=400),0,IF(AND(E63&gt;200,AB!E158&gt;AB!E156),AB!E147,IF(AND($A$62="Gewinn aus selbständiger Tätigkeit",E62&gt;0),0,IF(AND(E54&lt;100,E63&lt;200,E76&gt;0),0,IF(AND(E54+E57&lt;400,E60="auf 6 Monate"),0,E124)))))</f>
        <v>0</v>
      </c>
      <c r="F125" s="507">
        <f>IF(AND(F134&gt;0,F54&lt;=400),0,IF(AND(F63&gt;200,AB!F158&gt;AB!F156),AB!F147,IF(AND($A$62="Gewinn aus selbständiger Tätigkeit",F62&gt;0),0,IF(AND(F54&lt;100,F63&lt;200,F76&gt;0),0,IF(AND(F54+F57&lt;400,F60="auf 6 Monate"),0,F124)))))</f>
        <v>0</v>
      </c>
      <c r="G125" s="507">
        <f>IF(AND(G134&gt;0,G54&lt;=400),0,IF(AND(G63&gt;200,AB!G158&gt;AB!G156),AB!G147,IF(AND($A$62="Gewinn aus selbständiger Tätigkeit",G62&gt;0),0,IF(AND(G54&lt;100,G63&lt;200,G76&gt;0),0,IF(AND(G54+G57&lt;400,G60="auf 6 Monate"),0,G124)))))</f>
        <v>0</v>
      </c>
      <c r="H125" s="507">
        <f>IF(AND(H134&gt;0,H54&lt;=400),0,IF(AND(H63&gt;200,AB!H158&gt;AB!H156),AB!H147,IF(AND($A$62="Gewinn aus selbständiger Tätigkeit",H62&gt;0),0,IF(AND(H54&lt;100,H63&lt;200,H76&gt;0),0,IF(AND(H54+H57&lt;400,H60="auf 6 Monate"),0,H124)))))</f>
        <v>0</v>
      </c>
      <c r="I125" s="508">
        <f>IF(AND(I134&gt;0,I54&lt;=400),0,IF(AND(I63&gt;200,AB!I158&gt;AB!I156),AB!I147,IF(AND($A$62="Gewinn aus selbständiger Tätigkeit",I62&gt;0),0,IF(AND(I54&lt;100,I63&lt;200,I76&gt;0),0,IF(AND(I54+I57&lt;400,I60="auf 6 Monate"),0,I124)))))</f>
        <v>0</v>
      </c>
    </row>
    <row r="126" spans="1:9" hidden="1">
      <c r="A126" s="1339"/>
      <c r="B126" s="522"/>
      <c r="C126" s="507">
        <f>AB!C215</f>
        <v>0</v>
      </c>
      <c r="D126" s="507">
        <f>AB!D215</f>
        <v>0</v>
      </c>
      <c r="E126" s="507">
        <f>AB!E215</f>
        <v>0</v>
      </c>
      <c r="F126" s="507">
        <f>AB!F215</f>
        <v>0</v>
      </c>
      <c r="G126" s="507">
        <f>AB!G215</f>
        <v>0</v>
      </c>
      <c r="H126" s="507">
        <f>AB!H215</f>
        <v>0</v>
      </c>
      <c r="I126" s="508">
        <f>AB!I215</f>
        <v>0</v>
      </c>
    </row>
    <row r="127" spans="1:9">
      <c r="A127" s="1339">
        <f>IF(B127&gt;0,"./. notwendige Ausgaben",0)</f>
        <v>0</v>
      </c>
      <c r="B127" s="1335">
        <f>SUM(C127:I127)</f>
        <v>0</v>
      </c>
      <c r="C127" s="507">
        <f t="shared" ref="C127:I127" si="20">IF(C73=C72,C126,0)</f>
        <v>0</v>
      </c>
      <c r="D127" s="507">
        <f t="shared" si="20"/>
        <v>0</v>
      </c>
      <c r="E127" s="507">
        <f t="shared" si="20"/>
        <v>0</v>
      </c>
      <c r="F127" s="507">
        <f t="shared" si="20"/>
        <v>0</v>
      </c>
      <c r="G127" s="507">
        <f t="shared" si="20"/>
        <v>0</v>
      </c>
      <c r="H127" s="507">
        <f t="shared" si="20"/>
        <v>0</v>
      </c>
      <c r="I127" s="508">
        <f t="shared" si="20"/>
        <v>0</v>
      </c>
    </row>
    <row r="128" spans="1:9" ht="16.5" hidden="1" customHeight="1">
      <c r="A128" s="1341"/>
      <c r="B128" s="522"/>
      <c r="C128" s="522">
        <f>IF(AB!C160&gt;200,0,AB!C160)</f>
        <v>0</v>
      </c>
      <c r="D128" s="522">
        <f>IF(AB!D160&gt;200,0,AB!D160)</f>
        <v>0</v>
      </c>
      <c r="E128" s="522">
        <f>IF(AB!E160&gt;200,0,AB!E160)</f>
        <v>0</v>
      </c>
      <c r="F128" s="522">
        <f>IF(AB!F160&gt;200,0,AB!F160)</f>
        <v>0</v>
      </c>
      <c r="G128" s="522">
        <f>IF(AB!G160&gt;200,0,AB!G160)</f>
        <v>0</v>
      </c>
      <c r="H128" s="522">
        <f>IF(AB!H160&gt;200,0,AB!H160)</f>
        <v>0</v>
      </c>
      <c r="I128" s="523">
        <f>IF(AB!I160&gt;200,0,AB!I160)</f>
        <v>0</v>
      </c>
    </row>
    <row r="129" spans="1:64" ht="16.5" hidden="1" customHeight="1">
      <c r="A129" s="1341"/>
      <c r="B129" s="522"/>
      <c r="C129" s="522">
        <f>IF(AND(AB!C131+AB!C139&gt;400,AB!C159&gt;100,AB!C138&gt;0,AB!C158+100&gt;AB!C159),AB!C158+100,IF(OR(AB!C152&gt;100,AB!C155&gt;100),0,IF(AND(AB!C178&gt;0,AB!C189&gt;100+AB!C188),0,C128)))</f>
        <v>0</v>
      </c>
      <c r="D129" s="522">
        <f>IF(AND(AB!D131+AB!D139&gt;400,AB!D159&gt;100,AB!D138&gt;0,AB!D158+100&gt;AB!D159),AB!D158+100,IF(OR(AB!D152&gt;100,AB!D155&gt;100),0,IF(AND(AB!D178&gt;0,AB!D189&gt;100+AB!D188),0,D128)))</f>
        <v>0</v>
      </c>
      <c r="E129" s="522">
        <f>IF(AND(AB!E131+AB!E139&gt;400,AB!E159&gt;100,AB!E138&gt;0,AB!E158+100&gt;AB!E159),AB!E158+100,IF(OR(AB!E152&gt;100,AB!E155&gt;100),0,IF(AND(AB!E178&gt;0,AB!E189&gt;100+AB!E188),0,E128)))</f>
        <v>0</v>
      </c>
      <c r="F129" s="522">
        <f>IF(AND(AB!F131+AB!F139&gt;400,AB!F159&gt;100,AB!F138&gt;0,AB!F158+100&gt;AB!F159),AB!F158+100,IF(OR(AB!F152&gt;100,AB!F155&gt;100),0,IF(AND(AB!F178&gt;0,AB!F189&gt;100+AB!F188),0,F128)))</f>
        <v>0</v>
      </c>
      <c r="G129" s="522">
        <f>IF(AND(AB!G131+AB!G139&gt;400,AB!G159&gt;100,AB!G138&gt;0,AB!G158+100&gt;AB!G159),AB!G158+100,IF(OR(AB!G152&gt;100,AB!G155&gt;100),0,IF(AND(AB!G178&gt;0,AB!G189&gt;100+AB!G188),0,G128)))</f>
        <v>0</v>
      </c>
      <c r="H129" s="522">
        <f>IF(AND(AB!H131+AB!H139&gt;400,AB!H159&gt;100,AB!H138&gt;0,AB!H158+100&gt;AB!H159),AB!H158+100,IF(OR(AB!H152&gt;100,AB!H155&gt;100),0,IF(AND(AB!H178&gt;0,AB!H189&gt;100+AB!H188),0,H128)))</f>
        <v>0</v>
      </c>
      <c r="I129" s="523">
        <f>IF(AND(AB!I131+AB!I139&gt;400,AB!I159&gt;100,AB!I138&gt;0,AB!I158+100&gt;AB!I159),AB!I158+100,IF(OR(AB!I152&gt;100,AB!I155&gt;100),0,IF(AND(AB!I178&gt;0,AB!I189&gt;100+AB!I188),0,I128)))</f>
        <v>0</v>
      </c>
    </row>
    <row r="130" spans="1:64" ht="16.5" hidden="1" customHeight="1">
      <c r="A130" s="1341"/>
      <c r="B130" s="522"/>
      <c r="C130" s="522">
        <f>IF(OR(AB!C160=100,AB!C160=200),AB!C160,C129)</f>
        <v>0</v>
      </c>
      <c r="D130" s="522">
        <f>IF(OR(AB!D160=100,AB!D160=200),AB!D160,D129)</f>
        <v>0</v>
      </c>
      <c r="E130" s="522">
        <f>IF(OR(AB!E160=100,AB!E160=200),AB!E160,E129)</f>
        <v>0</v>
      </c>
      <c r="F130" s="522">
        <f>IF(OR(AB!F160=100,AB!F160=200),AB!F160,F129)</f>
        <v>0</v>
      </c>
      <c r="G130" s="522">
        <f>IF(OR(AB!G160=100,AB!G160=200),AB!G160,G129)</f>
        <v>0</v>
      </c>
      <c r="H130" s="522">
        <f>IF(OR(AB!H160=100,AB!H160=200),AB!H160,H129)</f>
        <v>0</v>
      </c>
      <c r="I130" s="523">
        <f>IF(OR(AB!I160=100,AB!I160=200),AB!I160,I129)</f>
        <v>0</v>
      </c>
    </row>
    <row r="131" spans="1:64" ht="16.5" hidden="1" customHeight="1">
      <c r="A131" s="976">
        <f>IF(B131&gt;0,"./. Grundfreibetrag Lohn / Ehrenamt",0)</f>
        <v>0</v>
      </c>
      <c r="B131" s="522"/>
      <c r="C131" s="522">
        <f>IF(AND(AB!C178&gt;0,AB!C178&lt;AB!C189),C130,IF(AND(AB!C178&gt;0,C129=0,AB!C189&gt;100),0,IF(C128&lt;100,C128,C130)))</f>
        <v>0</v>
      </c>
      <c r="D131" s="522">
        <f>IF(AND(AB!D178&gt;0,AB!D178&lt;AB!D189),D130,IF(AND(AB!D178&gt;0,D129=0,AB!D189&gt;100),0,IF(D128&lt;100,D128,D130)))</f>
        <v>0</v>
      </c>
      <c r="E131" s="522">
        <f>IF(AND(AB!E178&gt;0,AB!E178&lt;AB!E189),E130,IF(AND(AB!E178&gt;0,E129=0,AB!E189&gt;100),0,IF(E128&lt;100,E128,E130)))</f>
        <v>0</v>
      </c>
      <c r="F131" s="522">
        <f>IF(AND(AB!F178&gt;0,AB!F178&lt;AB!F189),F130,IF(AND(AB!F178&gt;0,F129=0,AB!F189&gt;100),0,IF(F128&lt;100,F128,F130)))</f>
        <v>0</v>
      </c>
      <c r="G131" s="522">
        <f>IF(AND(AB!G178&gt;0,AB!G178&lt;AB!G189),G130,IF(AND(AB!G178&gt;0,G129=0,AB!G189&gt;100),0,IF(G128&lt;100,G128,G130)))</f>
        <v>0</v>
      </c>
      <c r="H131" s="522">
        <f>IF(AND(AB!H178&gt;0,AB!H178&lt;AB!H189),H130,IF(AND(AB!H178&gt;0,H129=0,AB!H189&gt;100),0,IF(H128&lt;100,H128,H130)))</f>
        <v>0</v>
      </c>
      <c r="I131" s="523">
        <f>IF(AND(AB!I178&gt;0,AB!I178&lt;AB!I189),I130,IF(AND(AB!I178&gt;0,I129=0,AB!I189&gt;100),0,IF(I128&lt;100,I128,I130)))</f>
        <v>0</v>
      </c>
    </row>
    <row r="132" spans="1:64" ht="16.5" hidden="1" customHeight="1">
      <c r="A132" s="976"/>
      <c r="B132" s="522"/>
      <c r="C132" s="522">
        <f t="shared" ref="C132:I132" si="21">IF(AND(C54=0,C59&gt;0,C60="auf 6 Monate"),IF(AND(C61=0,C59&gt;0,C60="auf 6 Monate"),0,C131),C131)</f>
        <v>0</v>
      </c>
      <c r="D132" s="522">
        <f t="shared" si="21"/>
        <v>0</v>
      </c>
      <c r="E132" s="522">
        <f t="shared" si="21"/>
        <v>0</v>
      </c>
      <c r="F132" s="522">
        <f t="shared" si="21"/>
        <v>0</v>
      </c>
      <c r="G132" s="522">
        <f t="shared" si="21"/>
        <v>0</v>
      </c>
      <c r="H132" s="522">
        <f t="shared" si="21"/>
        <v>0</v>
      </c>
      <c r="I132" s="523">
        <f t="shared" si="21"/>
        <v>0</v>
      </c>
    </row>
    <row r="133" spans="1:64" ht="16.5" customHeight="1">
      <c r="A133" s="976">
        <f>IF(B133&gt;0,"./. Grundfreibetrag Lohn / Ehrenamt",0)</f>
        <v>0</v>
      </c>
      <c r="B133" s="1605">
        <f>SUM(C133:I133)</f>
        <v>0</v>
      </c>
      <c r="C133" s="1008">
        <f t="shared" ref="C133:I133" si="22">IF(AND(C54&gt;0,C54+C57&lt;400,C60="auf 6 Monate"),100,C132)</f>
        <v>0</v>
      </c>
      <c r="D133" s="1008">
        <f t="shared" si="22"/>
        <v>0</v>
      </c>
      <c r="E133" s="1008">
        <f t="shared" si="22"/>
        <v>0</v>
      </c>
      <c r="F133" s="1008">
        <f t="shared" si="22"/>
        <v>0</v>
      </c>
      <c r="G133" s="1008">
        <f t="shared" si="22"/>
        <v>0</v>
      </c>
      <c r="H133" s="1008">
        <f t="shared" si="22"/>
        <v>0</v>
      </c>
      <c r="I133" s="1009">
        <f t="shared" si="22"/>
        <v>0</v>
      </c>
    </row>
    <row r="134" spans="1:64" ht="16.5" customHeight="1">
      <c r="A134" s="976">
        <f>IF(B134&gt;0,"./. Freibetrag Freiwilligendienste",0)</f>
        <v>0</v>
      </c>
      <c r="B134" s="1335">
        <f>SUM(C134:I134)</f>
        <v>0</v>
      </c>
      <c r="C134" s="522">
        <f>AB!C171</f>
        <v>0</v>
      </c>
      <c r="D134" s="522">
        <f>AB!D171</f>
        <v>0</v>
      </c>
      <c r="E134" s="522">
        <f>AB!E171</f>
        <v>0</v>
      </c>
      <c r="F134" s="522">
        <f>AB!F171</f>
        <v>0</v>
      </c>
      <c r="G134" s="522">
        <f>AB!G171</f>
        <v>0</v>
      </c>
      <c r="H134" s="522">
        <f>AB!H171</f>
        <v>0</v>
      </c>
      <c r="I134" s="523">
        <f>AB!I171</f>
        <v>0</v>
      </c>
    </row>
    <row r="135" spans="1:64" ht="16.5" hidden="1" customHeight="1">
      <c r="A135" s="1339"/>
      <c r="B135" s="522"/>
      <c r="C135" s="522">
        <f>IF(AND(AB!C195&gt;0,C63=0),C54*0.3,IF(AND(AB!C34="nein",C63=0),C54*0.3,0))</f>
        <v>0</v>
      </c>
      <c r="D135" s="522">
        <f>IF(AND(AB!D195&gt;0,D63=0),D54*0.3,IF(AND(AB!D34="nein",D63=0),D54*0.3,0))</f>
        <v>0</v>
      </c>
      <c r="E135" s="522">
        <f>IF(AND(AB!E18&gt;14,AB!E34="nein",E63=0),E54*0.3,0)</f>
        <v>0</v>
      </c>
      <c r="F135" s="522">
        <f>IF(AND(AB!F18&gt;14,AB!F34="nein",F63=0),F54*0.3,0)</f>
        <v>0</v>
      </c>
      <c r="G135" s="522">
        <f>IF(AND(AB!G18&gt;14,AB!G34="nein",G63=0),G54*0.3,0)</f>
        <v>0</v>
      </c>
      <c r="H135" s="522">
        <f>IF(AND(AB!H18&gt;14,AB!H34="nein",H63=0),H54*0.3,0)</f>
        <v>0</v>
      </c>
      <c r="I135" s="523">
        <f>IF(AND(AB!I18&gt;14,AB!I34="nein",I63=0),I54*0.3,0)</f>
        <v>0</v>
      </c>
      <c r="J135" s="1080"/>
      <c r="K135" s="1080"/>
      <c r="L135" s="1080"/>
      <c r="M135" s="1080"/>
      <c r="N135" s="1080"/>
      <c r="O135" s="1080"/>
      <c r="P135" s="1080"/>
      <c r="Q135" s="1080"/>
      <c r="R135" s="1080"/>
      <c r="S135" s="1080"/>
      <c r="T135" s="1080"/>
      <c r="U135" s="1080"/>
      <c r="V135" s="1080"/>
      <c r="W135" s="1080"/>
      <c r="X135" s="1080"/>
      <c r="Y135" s="1080"/>
      <c r="Z135" s="1080"/>
      <c r="AA135" s="1080"/>
      <c r="AB135" s="1080"/>
      <c r="AC135" s="1080"/>
      <c r="AD135" s="1080"/>
      <c r="AE135" s="1080"/>
      <c r="AF135" s="1080"/>
      <c r="AG135" s="1080"/>
      <c r="AH135" s="1080"/>
      <c r="AI135" s="1080"/>
      <c r="AJ135" s="1080"/>
      <c r="AK135" s="1080"/>
      <c r="AL135" s="1080"/>
      <c r="AM135" s="1080"/>
      <c r="AN135" s="1080"/>
      <c r="AO135" s="1080"/>
      <c r="AP135" s="1080"/>
      <c r="AQ135" s="1080"/>
      <c r="AR135" s="1080"/>
      <c r="AS135" s="1080"/>
      <c r="AT135" s="1080"/>
      <c r="AU135" s="1080"/>
      <c r="AV135" s="1080"/>
      <c r="AW135" s="1080"/>
      <c r="AX135" s="1080"/>
      <c r="AY135" s="1080"/>
      <c r="AZ135" s="1080"/>
      <c r="BA135" s="1080"/>
      <c r="BB135" s="1080"/>
      <c r="BC135" s="1080"/>
      <c r="BD135" s="1080"/>
      <c r="BE135" s="1080"/>
      <c r="BF135" s="1080"/>
      <c r="BG135" s="1080"/>
      <c r="BH135" s="1080"/>
      <c r="BI135" s="1080"/>
      <c r="BJ135" s="1080"/>
      <c r="BK135" s="1080"/>
      <c r="BL135" s="1080"/>
    </row>
    <row r="136" spans="1:64" ht="16.5" hidden="1" customHeight="1">
      <c r="A136" s="1339"/>
      <c r="B136" s="522"/>
      <c r="C136" s="522">
        <f>IF(AND(AB!C195&gt;0,C135=0,C63&gt;0),0,IF(AND(AB!C34="nein",C135=0,C63&gt;0),0,IF(C135&gt;0,MIN(C135,AB!$C$227*0.5),D206)))</f>
        <v>0</v>
      </c>
      <c r="D136" s="522">
        <f>IF(AND(AB!D195&gt;0,D135=0,D63&gt;0),0,IF(AND(AB!D34="nein",D135=0,D63&gt;0),0,IF(D135&gt;0,MIN(D135,AB!$C$227*0.5),D211)))</f>
        <v>0</v>
      </c>
      <c r="E136" s="522">
        <f>IF(AND(AB!E18&gt;14,AB!E34="nein",E135=0,E63&gt;0),0,IF(AB!E18&lt;15,0,IF(E135&gt;0,MIN(E135,AB!$C$227*0.5),D216)))</f>
        <v>0</v>
      </c>
      <c r="F136" s="522">
        <f>IF(AND(AB!F18&gt;14,AB!F34="nein",F135=0,F63&gt;0),0,IF(AB!F18&lt;15,0,IF(F135&gt;0,MIN(F135,AB!$C$227*0.5),D221)))</f>
        <v>0</v>
      </c>
      <c r="G136" s="522">
        <f>IF(AND(AB!G18&gt;14,AB!G34="nein",G135=0,G63&gt;0),0,IF(AB!G18&lt;15,0,IF(G135&gt;0,MIN(G135,AB!$C$227*0.5),D226)))</f>
        <v>0</v>
      </c>
      <c r="H136" s="522">
        <f>IF(AND(AB!H18&gt;14,AB!H34="nein",H135=0,H63&gt;0),0,IF(AB!H18&lt;15,0,IF(H135&gt;0,MIN(H135,AB!$C$227*0.5),D231)))</f>
        <v>0</v>
      </c>
      <c r="I136" s="523">
        <f>IF(AND(AB!I18&gt;14,AB!I34="nein",I135=0,I63&gt;0),0,IF(AB!I18&lt;15,0,IF(I135&gt;0,MIN(I135,AB!$C$227*0.5),D236)))</f>
        <v>0</v>
      </c>
      <c r="J136" s="1080"/>
      <c r="K136" s="1080"/>
      <c r="L136" s="1080"/>
      <c r="M136" s="1080"/>
      <c r="N136" s="1080"/>
      <c r="O136" s="1080"/>
      <c r="P136" s="1080"/>
      <c r="Q136" s="1080"/>
      <c r="R136" s="1080"/>
      <c r="S136" s="1080"/>
      <c r="T136" s="1080"/>
      <c r="U136" s="1080"/>
      <c r="V136" s="1080"/>
      <c r="W136" s="1080"/>
      <c r="X136" s="1080"/>
      <c r="Y136" s="1080"/>
      <c r="Z136" s="1080"/>
      <c r="AA136" s="1080"/>
      <c r="AB136" s="1080"/>
      <c r="AC136" s="1080"/>
      <c r="AD136" s="1080"/>
      <c r="AE136" s="1080"/>
      <c r="AF136" s="1080"/>
      <c r="AG136" s="1080"/>
      <c r="AH136" s="1080"/>
      <c r="AI136" s="1080"/>
      <c r="AJ136" s="1080"/>
      <c r="AK136" s="1080"/>
      <c r="AL136" s="1080"/>
      <c r="AM136" s="1080"/>
      <c r="AN136" s="1080"/>
      <c r="AO136" s="1080"/>
      <c r="AP136" s="1080"/>
      <c r="AQ136" s="1080"/>
      <c r="AR136" s="1080"/>
      <c r="AS136" s="1080"/>
      <c r="AT136" s="1080"/>
      <c r="AU136" s="1080"/>
      <c r="AV136" s="1080"/>
      <c r="AW136" s="1080"/>
      <c r="AX136" s="1080"/>
      <c r="AY136" s="1080"/>
      <c r="AZ136" s="1080"/>
      <c r="BA136" s="1080"/>
      <c r="BB136" s="1080"/>
      <c r="BC136" s="1080"/>
      <c r="BD136" s="1080"/>
      <c r="BE136" s="1080"/>
      <c r="BF136" s="1080"/>
      <c r="BG136" s="1080"/>
      <c r="BH136" s="1080"/>
      <c r="BI136" s="1080"/>
      <c r="BJ136" s="1080"/>
      <c r="BK136" s="1080"/>
      <c r="BL136" s="1080"/>
    </row>
    <row r="137" spans="1:64" ht="16.5" hidden="1" customHeight="1">
      <c r="A137" s="1339"/>
      <c r="B137" s="522"/>
      <c r="C137" s="522">
        <f t="shared" ref="C137:I137" si="23">IF(C54+C63-C131=0,0,IF(C54+C57+C63-C131-C136&lt;0,C54+C57+C63-C131,C136))</f>
        <v>0</v>
      </c>
      <c r="D137" s="522">
        <f t="shared" si="23"/>
        <v>0</v>
      </c>
      <c r="E137" s="522">
        <f t="shared" si="23"/>
        <v>0</v>
      </c>
      <c r="F137" s="522">
        <f t="shared" si="23"/>
        <v>0</v>
      </c>
      <c r="G137" s="522">
        <f t="shared" si="23"/>
        <v>0</v>
      </c>
      <c r="H137" s="522">
        <f t="shared" si="23"/>
        <v>0</v>
      </c>
      <c r="I137" s="523">
        <f t="shared" si="23"/>
        <v>0</v>
      </c>
      <c r="J137" s="1080"/>
      <c r="K137" s="1080"/>
      <c r="L137" s="1080"/>
      <c r="M137" s="1080"/>
      <c r="N137" s="1080"/>
      <c r="O137" s="1080"/>
      <c r="P137" s="1080"/>
      <c r="Q137" s="1080"/>
      <c r="R137" s="1080"/>
      <c r="S137" s="1080"/>
      <c r="T137" s="1080"/>
      <c r="U137" s="1080"/>
      <c r="V137" s="1080"/>
      <c r="W137" s="1080"/>
      <c r="X137" s="1080"/>
      <c r="Y137" s="1080"/>
      <c r="Z137" s="1080"/>
      <c r="AA137" s="1080"/>
      <c r="AB137" s="1080"/>
      <c r="AC137" s="1080"/>
      <c r="AD137" s="1080"/>
      <c r="AE137" s="1080"/>
      <c r="AF137" s="1080"/>
      <c r="AG137" s="1080"/>
      <c r="AH137" s="1080"/>
      <c r="AI137" s="1080"/>
      <c r="AJ137" s="1080"/>
      <c r="AK137" s="1080"/>
      <c r="AL137" s="1080"/>
      <c r="AM137" s="1080"/>
      <c r="AN137" s="1080"/>
      <c r="AO137" s="1080"/>
      <c r="AP137" s="1080"/>
      <c r="AQ137" s="1080"/>
      <c r="AR137" s="1080"/>
      <c r="AS137" s="1080"/>
      <c r="AT137" s="1080"/>
      <c r="AU137" s="1080"/>
      <c r="AV137" s="1080"/>
      <c r="AW137" s="1080"/>
      <c r="AX137" s="1080"/>
      <c r="AY137" s="1080"/>
      <c r="AZ137" s="1080"/>
      <c r="BA137" s="1080"/>
      <c r="BB137" s="1080"/>
      <c r="BC137" s="1080"/>
      <c r="BD137" s="1080"/>
      <c r="BE137" s="1080"/>
      <c r="BF137" s="1080"/>
      <c r="BG137" s="1080"/>
      <c r="BH137" s="1080"/>
      <c r="BI137" s="1080"/>
      <c r="BJ137" s="1080"/>
      <c r="BK137" s="1080"/>
      <c r="BL137" s="1080"/>
    </row>
    <row r="138" spans="1:64" ht="16.5" hidden="1" customHeight="1">
      <c r="A138" s="1339"/>
      <c r="B138" s="522"/>
      <c r="C138" s="522">
        <f>IF(AND(C59&gt;0,C59=C58),D252,C137)</f>
        <v>0</v>
      </c>
      <c r="D138" s="522">
        <f>IF(AND(D59&gt;0,D59=D58),D257,D137)</f>
        <v>0</v>
      </c>
      <c r="E138" s="522">
        <f>IF(AND(E59&gt;0,E59=E58),D262,E137)</f>
        <v>0</v>
      </c>
      <c r="F138" s="522">
        <f>IF(AND(F59&gt;0,F59=F58),D267,F137)</f>
        <v>0</v>
      </c>
      <c r="G138" s="522">
        <f>IF(AND(G59&gt;0,G59=G58),D272,G137)</f>
        <v>0</v>
      </c>
      <c r="H138" s="522">
        <f>IF(AND(H59&gt;0,H59=H58),D277,H137)</f>
        <v>0</v>
      </c>
      <c r="I138" s="523">
        <f>IF(AND(I59&gt;0,I59=I58),D282,I137)</f>
        <v>0</v>
      </c>
      <c r="J138" s="1080"/>
      <c r="K138" s="1080"/>
      <c r="L138" s="1080"/>
      <c r="M138" s="1080"/>
      <c r="N138" s="1080"/>
      <c r="O138" s="1080"/>
      <c r="P138" s="1080"/>
      <c r="Q138" s="1080"/>
      <c r="R138" s="1080"/>
      <c r="S138" s="1080"/>
      <c r="T138" s="1080"/>
      <c r="U138" s="1080"/>
      <c r="V138" s="1080"/>
      <c r="W138" s="1080"/>
      <c r="X138" s="1080"/>
      <c r="Y138" s="1080"/>
      <c r="Z138" s="1080"/>
      <c r="AA138" s="1080"/>
      <c r="AB138" s="1080"/>
      <c r="AC138" s="1080"/>
      <c r="AD138" s="1080"/>
      <c r="AE138" s="1080"/>
      <c r="AF138" s="1080"/>
      <c r="AG138" s="1080"/>
      <c r="AH138" s="1080"/>
      <c r="AI138" s="1080"/>
      <c r="AJ138" s="1080"/>
      <c r="AK138" s="1080"/>
      <c r="AL138" s="1080"/>
      <c r="AM138" s="1080"/>
      <c r="AN138" s="1080"/>
      <c r="AO138" s="1080"/>
      <c r="AP138" s="1080"/>
      <c r="AQ138" s="1080"/>
      <c r="AR138" s="1080"/>
      <c r="AS138" s="1080"/>
      <c r="AT138" s="1080"/>
      <c r="AU138" s="1080"/>
      <c r="AV138" s="1080"/>
      <c r="AW138" s="1080"/>
      <c r="AX138" s="1080"/>
      <c r="AY138" s="1080"/>
      <c r="AZ138" s="1080"/>
      <c r="BA138" s="1080"/>
      <c r="BB138" s="1080"/>
      <c r="BC138" s="1080"/>
      <c r="BD138" s="1080"/>
      <c r="BE138" s="1080"/>
      <c r="BF138" s="1080"/>
      <c r="BG138" s="1080"/>
      <c r="BH138" s="1080"/>
      <c r="BI138" s="1080"/>
      <c r="BJ138" s="1080"/>
      <c r="BK138" s="1080"/>
      <c r="BL138" s="1080"/>
    </row>
    <row r="139" spans="1:64" ht="16.5" customHeight="1">
      <c r="A139" s="1339">
        <f>IF(B139&gt;0,"./. Freibetrag bei Erwerbstätigkeit",0)</f>
        <v>0</v>
      </c>
      <c r="B139" s="1605">
        <f t="shared" ref="B139:B144" si="24">SUM(C139:I139)</f>
        <v>0</v>
      </c>
      <c r="C139" s="522">
        <f>C138</f>
        <v>0</v>
      </c>
      <c r="D139" s="522">
        <f>D138</f>
        <v>0</v>
      </c>
      <c r="E139" s="522">
        <f>IF(AB!E18&gt;14,E138,0)</f>
        <v>0</v>
      </c>
      <c r="F139" s="522">
        <f>IF(AB!F18&gt;14,F138,0)</f>
        <v>0</v>
      </c>
      <c r="G139" s="522">
        <f>IF(AB!G18&gt;14,G138,0)</f>
        <v>0</v>
      </c>
      <c r="H139" s="522">
        <f>IF(AB!H18&gt;14,H138,0)</f>
        <v>0</v>
      </c>
      <c r="I139" s="523">
        <f>IF(AB!I18&gt;14,I138,0)</f>
        <v>0</v>
      </c>
      <c r="J139" s="1080"/>
      <c r="K139" s="1080"/>
      <c r="L139" s="1080"/>
      <c r="M139" s="1080"/>
      <c r="N139" s="1080"/>
      <c r="O139" s="1080"/>
      <c r="P139" s="1080"/>
      <c r="Q139" s="1080"/>
      <c r="R139" s="1080"/>
      <c r="S139" s="1080"/>
      <c r="T139" s="1080"/>
      <c r="U139" s="1080"/>
      <c r="V139" s="1080"/>
      <c r="W139" s="1080"/>
      <c r="X139" s="1080"/>
      <c r="Y139" s="1080"/>
      <c r="Z139" s="1080"/>
      <c r="AA139" s="1080"/>
      <c r="AB139" s="1080"/>
      <c r="AC139" s="1080"/>
      <c r="AD139" s="1080"/>
      <c r="AE139" s="1080"/>
      <c r="AF139" s="1080"/>
      <c r="AG139" s="1080"/>
      <c r="AH139" s="1080"/>
      <c r="AI139" s="1080"/>
      <c r="AJ139" s="1080"/>
      <c r="AK139" s="1080"/>
      <c r="AL139" s="1080"/>
      <c r="AM139" s="1080"/>
      <c r="AN139" s="1080"/>
      <c r="AO139" s="1080"/>
      <c r="AP139" s="1080"/>
      <c r="AQ139" s="1080"/>
      <c r="AR139" s="1080"/>
      <c r="AS139" s="1080"/>
      <c r="AT139" s="1080"/>
      <c r="AU139" s="1080"/>
      <c r="AV139" s="1080"/>
      <c r="AW139" s="1080"/>
      <c r="AX139" s="1080"/>
      <c r="AY139" s="1080"/>
      <c r="AZ139" s="1080"/>
      <c r="BA139" s="1080"/>
      <c r="BB139" s="1080"/>
      <c r="BC139" s="1080"/>
      <c r="BD139" s="1080"/>
      <c r="BE139" s="1080"/>
      <c r="BF139" s="1080"/>
      <c r="BG139" s="1080"/>
      <c r="BH139" s="1080"/>
      <c r="BI139" s="1080"/>
      <c r="BJ139" s="1080"/>
      <c r="BK139" s="1080"/>
      <c r="BL139" s="1080"/>
    </row>
    <row r="140" spans="1:64" ht="16.5" customHeight="1">
      <c r="A140" s="1339">
        <f>IF(B140&gt;0,"./. Unterhaltsverpflichtungen",0)</f>
        <v>0</v>
      </c>
      <c r="B140" s="1335">
        <f t="shared" si="24"/>
        <v>0</v>
      </c>
      <c r="C140" s="522">
        <f>IF(C77=0,0,AB!C216)</f>
        <v>0</v>
      </c>
      <c r="D140" s="522">
        <f>IF(D77=0,0,AB!D216)</f>
        <v>0</v>
      </c>
      <c r="E140" s="522">
        <f>IF(E77=0,0,AB!E216)</f>
        <v>0</v>
      </c>
      <c r="F140" s="522">
        <f>IF(F77=0,0,AB!F216)</f>
        <v>0</v>
      </c>
      <c r="G140" s="522">
        <f>IF(G77=0,0,AB!G216)</f>
        <v>0</v>
      </c>
      <c r="H140" s="522">
        <f>IF(H77=0,0,AB!H216)</f>
        <v>0</v>
      </c>
      <c r="I140" s="523">
        <f>IF(I77=0,0,AB!I216)</f>
        <v>0</v>
      </c>
      <c r="J140" s="1080"/>
      <c r="K140" s="1080"/>
      <c r="L140" s="1080"/>
      <c r="M140" s="1080"/>
      <c r="N140" s="1080"/>
      <c r="O140" s="1080"/>
      <c r="P140" s="1080"/>
      <c r="Q140" s="1080"/>
      <c r="R140" s="1080"/>
      <c r="S140" s="1080"/>
      <c r="T140" s="1080"/>
      <c r="U140" s="1080"/>
      <c r="V140" s="1080"/>
      <c r="W140" s="1080"/>
      <c r="X140" s="1080"/>
      <c r="Y140" s="1080"/>
      <c r="Z140" s="1080"/>
      <c r="AA140" s="1080"/>
      <c r="AB140" s="1080"/>
      <c r="AC140" s="1080"/>
      <c r="AD140" s="1080"/>
      <c r="AE140" s="1080"/>
      <c r="AF140" s="1080"/>
      <c r="AG140" s="1080"/>
      <c r="AH140" s="1080"/>
      <c r="AI140" s="1080"/>
      <c r="AJ140" s="1080"/>
      <c r="AK140" s="1080"/>
      <c r="AL140" s="1080"/>
      <c r="AM140" s="1080"/>
      <c r="AN140" s="1080"/>
      <c r="AO140" s="1080"/>
      <c r="AP140" s="1080"/>
      <c r="AQ140" s="1080"/>
      <c r="AR140" s="1080"/>
      <c r="AS140" s="1080"/>
      <c r="AT140" s="1080"/>
      <c r="AU140" s="1080"/>
      <c r="AV140" s="1080"/>
      <c r="AW140" s="1080"/>
      <c r="AX140" s="1080"/>
      <c r="AY140" s="1080"/>
      <c r="AZ140" s="1080"/>
      <c r="BA140" s="1080"/>
      <c r="BB140" s="1080"/>
      <c r="BC140" s="1080"/>
      <c r="BD140" s="1080"/>
      <c r="BE140" s="1080"/>
      <c r="BF140" s="1080"/>
      <c r="BG140" s="1080"/>
      <c r="BH140" s="1080"/>
      <c r="BI140" s="1080"/>
      <c r="BJ140" s="1080"/>
      <c r="BK140" s="1080"/>
      <c r="BL140" s="1080"/>
    </row>
    <row r="141" spans="1:64" ht="16.5" customHeight="1">
      <c r="A141" s="1369">
        <f>IF(B141&gt;0,"./. Elterngeldfreibetrag",0)</f>
        <v>0</v>
      </c>
      <c r="B141" s="1335">
        <f t="shared" si="24"/>
        <v>0</v>
      </c>
      <c r="C141" s="522">
        <f>AB!C177</f>
        <v>0</v>
      </c>
      <c r="D141" s="522">
        <f>AB!D177</f>
        <v>0</v>
      </c>
      <c r="E141" s="522"/>
      <c r="F141" s="522"/>
      <c r="G141" s="1361"/>
      <c r="H141" s="1361"/>
      <c r="I141" s="1370"/>
      <c r="J141" s="1080"/>
      <c r="K141" s="1080"/>
      <c r="L141" s="1080"/>
      <c r="M141" s="1080"/>
      <c r="N141" s="1080"/>
      <c r="O141" s="1080"/>
      <c r="P141" s="1080"/>
      <c r="Q141" s="1080"/>
      <c r="R141" s="1080"/>
      <c r="S141" s="1080"/>
      <c r="T141" s="1080"/>
      <c r="U141" s="1080"/>
      <c r="V141" s="1080"/>
      <c r="W141" s="1080"/>
      <c r="X141" s="1080"/>
      <c r="Y141" s="1080"/>
      <c r="Z141" s="1080"/>
      <c r="AA141" s="1080"/>
      <c r="AB141" s="1080"/>
      <c r="AC141" s="1080"/>
      <c r="AD141" s="1080"/>
      <c r="AE141" s="1080"/>
      <c r="AF141" s="1080"/>
      <c r="AG141" s="1080"/>
      <c r="AH141" s="1080"/>
      <c r="AI141" s="1080"/>
      <c r="AJ141" s="1080"/>
      <c r="AK141" s="1080"/>
      <c r="AL141" s="1080"/>
      <c r="AM141" s="1080"/>
      <c r="AN141" s="1080"/>
      <c r="AO141" s="1080"/>
      <c r="AP141" s="1080"/>
      <c r="AQ141" s="1080"/>
      <c r="AR141" s="1080"/>
      <c r="AS141" s="1080"/>
      <c r="AT141" s="1080"/>
      <c r="AU141" s="1080"/>
      <c r="AV141" s="1080"/>
      <c r="AW141" s="1080"/>
      <c r="AX141" s="1080"/>
      <c r="AY141" s="1080"/>
      <c r="AZ141" s="1080"/>
      <c r="BA141" s="1080"/>
      <c r="BB141" s="1080"/>
      <c r="BC141" s="1080"/>
      <c r="BD141" s="1080"/>
      <c r="BE141" s="1080"/>
      <c r="BF141" s="1080"/>
      <c r="BG141" s="1080"/>
      <c r="BH141" s="1080"/>
      <c r="BI141" s="1080"/>
      <c r="BJ141" s="1080"/>
      <c r="BK141" s="1080"/>
      <c r="BL141" s="1080"/>
    </row>
    <row r="142" spans="1:64" ht="18" customHeight="1">
      <c r="A142" s="1606">
        <f>IF(AND(B142&gt;0,C142=AB!C187),"./. Grundfreibetrag Ausbildungsförderung",IF(AND(B142&gt;0,C142=AB!C188),"./. Ausgaben für die Ausbildung",0))</f>
        <v>0</v>
      </c>
      <c r="B142" s="1357">
        <f t="shared" si="24"/>
        <v>0</v>
      </c>
      <c r="C142" s="1024">
        <f>IF(AB!C189&gt;100,AB!C188,IF(AND(AB!C188&gt;0,AB!C188&gt;AB!C187),AB!C188,AB!C187))</f>
        <v>0</v>
      </c>
      <c r="D142" s="1024">
        <f>IF(AB!D189&gt;100,AB!D188,IF(AND(AB!D188&gt;0,AB!D188&gt;AB!D187),AB!D188,AB!D187))</f>
        <v>0</v>
      </c>
      <c r="E142" s="1024">
        <f>IF(AB!E189&gt;100,AB!E188,IF(AND(AB!E188&gt;0,AB!E188&gt;AB!E187),AB!E188,AB!E187))</f>
        <v>0</v>
      </c>
      <c r="F142" s="1024">
        <f>IF(AB!F189&gt;100,AB!F188,IF(AND(AB!F188&gt;0,AB!F188&gt;AB!F187),AB!F188,AB!F187))</f>
        <v>0</v>
      </c>
      <c r="G142" s="1024">
        <f>IF(AB!G189&gt;100,AB!G188,IF(AND(AB!G188&gt;0,AB!G188&gt;AB!G187),AB!G188,AB!G187))</f>
        <v>0</v>
      </c>
      <c r="H142" s="1024">
        <f>IF(AB!H189&gt;100,AB!H188,IF(AND(AB!H188&gt;0,AB!H188&gt;AB!H187),AB!H188,AB!H187))</f>
        <v>0</v>
      </c>
      <c r="I142" s="1025">
        <f>IF(AB!I189&gt;100,AB!I188,IF(AND(AB!I188&gt;0,AB!I188&gt;AB!I187),AB!I188,AB!I187))</f>
        <v>0</v>
      </c>
      <c r="J142" s="1080"/>
      <c r="K142" s="1080"/>
      <c r="L142" s="1080"/>
      <c r="M142" s="1080"/>
      <c r="N142" s="1080"/>
      <c r="O142" s="1080"/>
      <c r="P142" s="1080"/>
      <c r="Q142" s="1080"/>
      <c r="R142" s="1080"/>
      <c r="S142" s="1080"/>
      <c r="T142" s="1080"/>
      <c r="U142" s="1080"/>
      <c r="V142" s="1080"/>
      <c r="W142" s="1080"/>
      <c r="X142" s="1080"/>
      <c r="Y142" s="1080"/>
      <c r="Z142" s="1080"/>
      <c r="AA142" s="1080"/>
      <c r="AB142" s="1080"/>
      <c r="AC142" s="1080"/>
      <c r="AD142" s="1080"/>
      <c r="AE142" s="1080"/>
      <c r="AF142" s="1080"/>
      <c r="AG142" s="1080"/>
      <c r="AH142" s="1080"/>
      <c r="AI142" s="1080"/>
      <c r="AJ142" s="1080"/>
      <c r="AK142" s="1080"/>
      <c r="AL142" s="1080"/>
      <c r="AM142" s="1080"/>
      <c r="AN142" s="1080"/>
      <c r="AO142" s="1080"/>
      <c r="AP142" s="1080"/>
      <c r="AQ142" s="1080"/>
      <c r="AR142" s="1080"/>
      <c r="AS142" s="1080"/>
      <c r="AT142" s="1080"/>
      <c r="AU142" s="1080"/>
      <c r="AV142" s="1080"/>
      <c r="AW142" s="1080"/>
      <c r="AX142" s="1080"/>
      <c r="AY142" s="1080"/>
      <c r="AZ142" s="1080"/>
      <c r="BA142" s="1080"/>
      <c r="BB142" s="1080"/>
      <c r="BC142" s="1080"/>
      <c r="BD142" s="1080"/>
      <c r="BE142" s="1080"/>
      <c r="BF142" s="1080"/>
      <c r="BG142" s="1080"/>
      <c r="BH142" s="1080"/>
      <c r="BI142" s="1080"/>
      <c r="BJ142" s="1080"/>
      <c r="BK142" s="1080"/>
      <c r="BL142" s="1080"/>
    </row>
    <row r="143" spans="1:64" ht="18" hidden="1" customHeight="1">
      <c r="A143" s="1037"/>
      <c r="B143" s="637">
        <f t="shared" si="24"/>
        <v>0</v>
      </c>
      <c r="C143" s="1261">
        <f t="shared" ref="C143:I143" si="25">C77-C85-C93-C100-C107-C114-C121-C125-C127-C133-C134-C139-C140-C141-C142</f>
        <v>0</v>
      </c>
      <c r="D143" s="1261">
        <f t="shared" si="25"/>
        <v>0</v>
      </c>
      <c r="E143" s="1261">
        <f t="shared" si="25"/>
        <v>0</v>
      </c>
      <c r="F143" s="1261">
        <f t="shared" si="25"/>
        <v>0</v>
      </c>
      <c r="G143" s="1261">
        <f t="shared" si="25"/>
        <v>0</v>
      </c>
      <c r="H143" s="1261">
        <f t="shared" si="25"/>
        <v>0</v>
      </c>
      <c r="I143" s="1372">
        <f t="shared" si="25"/>
        <v>0</v>
      </c>
      <c r="J143" s="1080"/>
      <c r="K143" s="1080"/>
      <c r="L143" s="1080"/>
      <c r="M143" s="1080"/>
      <c r="N143" s="1080"/>
      <c r="O143" s="1080"/>
      <c r="P143" s="1080"/>
      <c r="Q143" s="1080"/>
      <c r="R143" s="1080"/>
      <c r="S143" s="1080"/>
      <c r="T143" s="1080"/>
      <c r="U143" s="1080"/>
      <c r="V143" s="1080"/>
      <c r="W143" s="1080"/>
      <c r="X143" s="1080"/>
      <c r="Y143" s="1080"/>
      <c r="Z143" s="1080"/>
      <c r="AA143" s="1080"/>
      <c r="AB143" s="1080"/>
      <c r="AC143" s="1080"/>
      <c r="AD143" s="1080"/>
      <c r="AE143" s="1080"/>
      <c r="AF143" s="1080"/>
      <c r="AG143" s="1080"/>
      <c r="AH143" s="1080"/>
      <c r="AI143" s="1080"/>
      <c r="AJ143" s="1080"/>
      <c r="AK143" s="1080"/>
      <c r="AL143" s="1080"/>
      <c r="AM143" s="1080"/>
      <c r="AN143" s="1080"/>
      <c r="AO143" s="1080"/>
      <c r="AP143" s="1080"/>
      <c r="AQ143" s="1080"/>
      <c r="AR143" s="1080"/>
      <c r="AS143" s="1080"/>
      <c r="AT143" s="1080"/>
      <c r="AU143" s="1080"/>
      <c r="AV143" s="1080"/>
      <c r="AW143" s="1080"/>
      <c r="AX143" s="1080"/>
      <c r="AY143" s="1080"/>
      <c r="AZ143" s="1080"/>
      <c r="BA143" s="1080"/>
      <c r="BB143" s="1080"/>
      <c r="BC143" s="1080"/>
      <c r="BD143" s="1080"/>
      <c r="BE143" s="1080"/>
      <c r="BF143" s="1080"/>
      <c r="BG143" s="1080"/>
      <c r="BH143" s="1080"/>
      <c r="BI143" s="1080"/>
      <c r="BJ143" s="1080"/>
      <c r="BK143" s="1080"/>
      <c r="BL143" s="1080"/>
    </row>
    <row r="144" spans="1:64" ht="21" customHeight="1">
      <c r="A144" s="1373" t="s">
        <v>2168</v>
      </c>
      <c r="B144" s="1374">
        <f t="shared" si="24"/>
        <v>0</v>
      </c>
      <c r="C144" s="1374">
        <f t="shared" ref="C144:I144" si="26">IF(C143&lt;0,0,C143)</f>
        <v>0</v>
      </c>
      <c r="D144" s="1374">
        <f t="shared" si="26"/>
        <v>0</v>
      </c>
      <c r="E144" s="1374">
        <f t="shared" si="26"/>
        <v>0</v>
      </c>
      <c r="F144" s="1374">
        <f t="shared" si="26"/>
        <v>0</v>
      </c>
      <c r="G144" s="1374">
        <f t="shared" si="26"/>
        <v>0</v>
      </c>
      <c r="H144" s="1374">
        <f t="shared" si="26"/>
        <v>0</v>
      </c>
      <c r="I144" s="1375">
        <f t="shared" si="26"/>
        <v>0</v>
      </c>
      <c r="J144" s="1080"/>
      <c r="K144" s="1080"/>
      <c r="L144" s="1080"/>
      <c r="M144" s="1080"/>
      <c r="N144" s="1080"/>
      <c r="O144" s="1080"/>
      <c r="P144" s="1080"/>
      <c r="Q144" s="1080"/>
      <c r="R144" s="1080"/>
      <c r="S144" s="1080"/>
      <c r="T144" s="1080"/>
      <c r="U144" s="1080"/>
      <c r="V144" s="1080"/>
      <c r="W144" s="1080"/>
      <c r="X144" s="1080"/>
      <c r="Y144" s="1080"/>
      <c r="Z144" s="1080"/>
      <c r="AA144" s="1080"/>
      <c r="AB144" s="1080"/>
      <c r="AC144" s="1080"/>
      <c r="AD144" s="1080"/>
      <c r="AE144" s="1080"/>
      <c r="AF144" s="1080"/>
      <c r="AG144" s="1080"/>
      <c r="AH144" s="1080"/>
      <c r="AI144" s="1080"/>
      <c r="AJ144" s="1080"/>
      <c r="AK144" s="1080"/>
      <c r="AL144" s="1080"/>
      <c r="AM144" s="1080"/>
      <c r="AN144" s="1080"/>
      <c r="AO144" s="1080"/>
      <c r="AP144" s="1080"/>
      <c r="AQ144" s="1080"/>
      <c r="AR144" s="1080"/>
      <c r="AS144" s="1080"/>
      <c r="AT144" s="1080"/>
      <c r="AU144" s="1080"/>
      <c r="AV144" s="1080"/>
      <c r="AW144" s="1080"/>
      <c r="AX144" s="1080"/>
      <c r="AY144" s="1080"/>
      <c r="AZ144" s="1080"/>
      <c r="BA144" s="1080"/>
      <c r="BB144" s="1080"/>
      <c r="BC144" s="1080"/>
      <c r="BD144" s="1080"/>
      <c r="BE144" s="1080"/>
      <c r="BF144" s="1080"/>
      <c r="BG144" s="1080"/>
      <c r="BH144" s="1080"/>
      <c r="BI144" s="1080"/>
      <c r="BJ144" s="1080"/>
      <c r="BK144" s="1080"/>
      <c r="BL144" s="1080"/>
    </row>
    <row r="145" spans="1:64" ht="10.5" customHeight="1">
      <c r="J145" s="1080"/>
      <c r="K145" s="1080"/>
      <c r="L145" s="1080"/>
      <c r="M145" s="1080"/>
      <c r="N145" s="1080"/>
      <c r="O145" s="1080"/>
      <c r="P145" s="1080"/>
      <c r="Q145" s="1080"/>
      <c r="R145" s="1080"/>
      <c r="S145" s="1080"/>
      <c r="T145" s="1080"/>
      <c r="U145" s="1080"/>
      <c r="V145" s="1080"/>
      <c r="W145" s="1080"/>
      <c r="X145" s="1080"/>
      <c r="Y145" s="1080"/>
      <c r="Z145" s="1080"/>
      <c r="AA145" s="1080"/>
      <c r="AB145" s="1080"/>
      <c r="AC145" s="1080"/>
      <c r="AD145" s="1080"/>
      <c r="AE145" s="1080"/>
      <c r="AF145" s="1080"/>
      <c r="AG145" s="1080"/>
      <c r="AH145" s="1080"/>
      <c r="AI145" s="1080"/>
      <c r="AJ145" s="1080"/>
      <c r="AK145" s="1080"/>
      <c r="AL145" s="1080"/>
      <c r="AM145" s="1080"/>
      <c r="AN145" s="1080"/>
      <c r="AO145" s="1080"/>
      <c r="AP145" s="1080"/>
      <c r="AQ145" s="1080"/>
      <c r="AR145" s="1080"/>
      <c r="AS145" s="1080"/>
      <c r="AT145" s="1080"/>
      <c r="AU145" s="1080"/>
      <c r="AV145" s="1080"/>
      <c r="AW145" s="1080"/>
      <c r="AX145" s="1080"/>
      <c r="AY145" s="1080"/>
      <c r="AZ145" s="1080"/>
      <c r="BA145" s="1080"/>
      <c r="BB145" s="1080"/>
      <c r="BC145" s="1080"/>
      <c r="BD145" s="1080"/>
      <c r="BE145" s="1080"/>
      <c r="BF145" s="1080"/>
      <c r="BG145" s="1080"/>
      <c r="BH145" s="1080"/>
      <c r="BI145" s="1080"/>
      <c r="BJ145" s="1080"/>
      <c r="BK145" s="1080"/>
      <c r="BL145" s="1080"/>
    </row>
    <row r="146" spans="1:64" ht="9.75" customHeight="1"/>
    <row r="147" spans="1:64" ht="21.75" customHeight="1">
      <c r="A147" s="1319"/>
      <c r="B147" s="1320" t="s">
        <v>2169</v>
      </c>
      <c r="C147" s="1316"/>
      <c r="D147" s="1316"/>
      <c r="E147" s="1316"/>
      <c r="F147" s="1316"/>
      <c r="G147" s="1316"/>
      <c r="H147" s="1316"/>
      <c r="I147" s="1321"/>
      <c r="J147" s="1080"/>
      <c r="K147" s="1080"/>
      <c r="L147" s="1080"/>
      <c r="M147" s="1080"/>
      <c r="N147" s="1080"/>
      <c r="O147" s="1080"/>
      <c r="P147" s="1080"/>
      <c r="Q147" s="1080"/>
      <c r="R147" s="1080"/>
      <c r="S147" s="1080"/>
      <c r="T147" s="1080"/>
      <c r="U147" s="1080"/>
      <c r="V147" s="1080"/>
      <c r="W147" s="1080"/>
      <c r="X147" s="1080"/>
      <c r="Y147" s="1080"/>
      <c r="Z147" s="1080"/>
      <c r="AA147" s="1080"/>
      <c r="AB147" s="1080"/>
      <c r="AC147" s="1080"/>
      <c r="AD147" s="1080"/>
      <c r="AE147" s="1080"/>
      <c r="AF147" s="1080"/>
      <c r="AG147" s="1080"/>
      <c r="AH147" s="1080"/>
      <c r="AI147" s="1080"/>
      <c r="AJ147" s="1080"/>
      <c r="AK147" s="1080"/>
      <c r="AL147" s="1080"/>
      <c r="AM147" s="1080"/>
      <c r="AN147" s="1080"/>
      <c r="AO147" s="1080"/>
      <c r="AP147" s="1080"/>
      <c r="AQ147" s="1080"/>
      <c r="AR147" s="1080"/>
      <c r="AS147" s="1080"/>
      <c r="AT147" s="1080"/>
      <c r="AU147" s="1080"/>
      <c r="AV147" s="1080"/>
      <c r="AW147" s="1080"/>
      <c r="AX147" s="1080"/>
      <c r="AY147" s="1080"/>
      <c r="AZ147" s="1080"/>
      <c r="BA147" s="1080"/>
      <c r="BB147" s="1080"/>
      <c r="BC147" s="1080"/>
      <c r="BD147" s="1080"/>
      <c r="BE147" s="1080"/>
      <c r="BF147" s="1080"/>
      <c r="BG147" s="1080"/>
      <c r="BH147" s="1080"/>
      <c r="BI147" s="1080"/>
      <c r="BJ147" s="1080"/>
      <c r="BK147" s="1080"/>
      <c r="BL147" s="1080"/>
    </row>
    <row r="148" spans="1:64" ht="18.75" customHeight="1">
      <c r="A148" s="839"/>
      <c r="B148" s="1322" t="s">
        <v>246</v>
      </c>
      <c r="C148" s="1322" t="str">
        <f>AB!C4</f>
        <v>Antragsteller</v>
      </c>
      <c r="D148" s="1322" t="str">
        <f>AB!D4</f>
        <v>Partner(in)</v>
      </c>
      <c r="E148" s="1322" t="str">
        <f>AB!E4</f>
        <v>Kind 1</v>
      </c>
      <c r="F148" s="1322" t="s">
        <v>145</v>
      </c>
      <c r="G148" s="1322" t="s">
        <v>146</v>
      </c>
      <c r="H148" s="1322" t="s">
        <v>147</v>
      </c>
      <c r="I148" s="1323" t="s">
        <v>148</v>
      </c>
    </row>
    <row r="149" spans="1:64" ht="17.25" customHeight="1">
      <c r="A149" s="1342" t="s">
        <v>127</v>
      </c>
      <c r="B149" s="1335">
        <f>SUM(C149:I149)</f>
        <v>409</v>
      </c>
      <c r="C149" s="1016">
        <f t="shared" ref="C149:I149" si="27">C50</f>
        <v>409</v>
      </c>
      <c r="D149" s="1016">
        <f t="shared" si="27"/>
        <v>0</v>
      </c>
      <c r="E149" s="1016">
        <f t="shared" si="27"/>
        <v>0</v>
      </c>
      <c r="F149" s="1016">
        <f t="shared" si="27"/>
        <v>0</v>
      </c>
      <c r="G149" s="1016">
        <f t="shared" si="27"/>
        <v>0</v>
      </c>
      <c r="H149" s="1016">
        <f t="shared" si="27"/>
        <v>0</v>
      </c>
      <c r="I149" s="1017">
        <f t="shared" si="27"/>
        <v>0</v>
      </c>
    </row>
    <row r="150" spans="1:64" ht="19.5" customHeight="1">
      <c r="A150" s="1376">
        <f>IF(B150&gt;0,"./. Einkommen Kinder",0)</f>
        <v>0</v>
      </c>
      <c r="B150" s="1377">
        <f>SUM(C150:I150)</f>
        <v>0</v>
      </c>
      <c r="C150" s="1378"/>
      <c r="D150" s="1378"/>
      <c r="E150" s="1227">
        <f>E144</f>
        <v>0</v>
      </c>
      <c r="F150" s="1227">
        <f>F144</f>
        <v>0</v>
      </c>
      <c r="G150" s="1227">
        <f>G144</f>
        <v>0</v>
      </c>
      <c r="H150" s="1227">
        <f>H144</f>
        <v>0</v>
      </c>
      <c r="I150" s="1228">
        <f>I144</f>
        <v>0</v>
      </c>
    </row>
    <row r="151" spans="1:64" ht="17.25" hidden="1" customHeight="1">
      <c r="A151" s="1379"/>
      <c r="B151" s="1380"/>
      <c r="C151" s="1380"/>
      <c r="D151" s="1380"/>
      <c r="E151" s="507">
        <f>E149-E150</f>
        <v>0</v>
      </c>
      <c r="F151" s="507">
        <f>F149-F150</f>
        <v>0</v>
      </c>
      <c r="G151" s="507">
        <f>G149-G150</f>
        <v>0</v>
      </c>
      <c r="H151" s="507">
        <f>H149-H150</f>
        <v>0</v>
      </c>
      <c r="I151" s="508">
        <f>I149-I150</f>
        <v>0</v>
      </c>
    </row>
    <row r="152" spans="1:64" ht="17.25" hidden="1" customHeight="1">
      <c r="A152" s="833"/>
      <c r="B152" s="869"/>
      <c r="C152" s="899"/>
      <c r="D152" s="899"/>
      <c r="E152" s="899">
        <f>IF(E151&lt;0,0,E151)</f>
        <v>0</v>
      </c>
      <c r="F152" s="899">
        <f>IF(F151&lt;0,0,F151)</f>
        <v>0</v>
      </c>
      <c r="G152" s="899">
        <f>IF(G151&lt;0,0,G151)</f>
        <v>0</v>
      </c>
      <c r="H152" s="899">
        <f>IF(H151&lt;0,0,H151)</f>
        <v>0</v>
      </c>
      <c r="I152" s="900">
        <f>IF(I151&lt;0,0,I151)</f>
        <v>0</v>
      </c>
    </row>
    <row r="153" spans="1:64" ht="19.5" customHeight="1">
      <c r="A153" s="1342" t="s">
        <v>2170</v>
      </c>
      <c r="B153" s="1335">
        <f>SUM(C153:I153)</f>
        <v>409</v>
      </c>
      <c r="C153" s="1016">
        <f>C149</f>
        <v>409</v>
      </c>
      <c r="D153" s="1016">
        <f>D149</f>
        <v>0</v>
      </c>
      <c r="E153" s="1016">
        <f>E152</f>
        <v>0</v>
      </c>
      <c r="F153" s="1016">
        <f>F152</f>
        <v>0</v>
      </c>
      <c r="G153" s="1016">
        <f>G152</f>
        <v>0</v>
      </c>
      <c r="H153" s="1016">
        <f>H152</f>
        <v>0</v>
      </c>
      <c r="I153" s="1017">
        <f>I152</f>
        <v>0</v>
      </c>
      <c r="K153" s="1154"/>
    </row>
    <row r="154" spans="1:64" ht="18" hidden="1" customHeight="1">
      <c r="A154" s="1342"/>
      <c r="B154" s="1335">
        <f>SUM(C154:I154)</f>
        <v>409</v>
      </c>
      <c r="C154" s="1016">
        <f>IF(C10="ja",C153,0)</f>
        <v>409</v>
      </c>
      <c r="D154" s="1016">
        <f>IF(D10="ja",D153,0)</f>
        <v>0</v>
      </c>
      <c r="E154" s="1016">
        <f>IF(AND(AB!E37=0,E10="ja"),E153,0)</f>
        <v>0</v>
      </c>
      <c r="F154" s="1016">
        <f>IF(F10="ja",F153,0)</f>
        <v>0</v>
      </c>
      <c r="G154" s="1016">
        <f>IF(G10="ja",G153,0)</f>
        <v>0</v>
      </c>
      <c r="H154" s="1016">
        <f>IF(H10="ja",H153,0)</f>
        <v>0</v>
      </c>
      <c r="I154" s="1017">
        <f>IF(I10="ja",I153,0)</f>
        <v>0</v>
      </c>
    </row>
    <row r="155" spans="1:64" ht="17.25" customHeight="1">
      <c r="A155" s="1382" t="s">
        <v>2171</v>
      </c>
      <c r="B155" s="1383">
        <f>SUM(C155:I155)</f>
        <v>1</v>
      </c>
      <c r="C155" s="1384">
        <f>IF(AND(B154&gt;0,C10="ja"),C154/B154,0)</f>
        <v>1</v>
      </c>
      <c r="D155" s="1384">
        <f t="shared" ref="D155:I155" si="28">IF(AND($B$154&gt;0,D11&gt;0,D10="ja"),D154/$B$154,0)</f>
        <v>0</v>
      </c>
      <c r="E155" s="1384">
        <f t="shared" si="28"/>
        <v>0</v>
      </c>
      <c r="F155" s="1384">
        <f t="shared" si="28"/>
        <v>0</v>
      </c>
      <c r="G155" s="1384">
        <f t="shared" si="28"/>
        <v>0</v>
      </c>
      <c r="H155" s="1384">
        <f t="shared" si="28"/>
        <v>0</v>
      </c>
      <c r="I155" s="1385">
        <f t="shared" si="28"/>
        <v>0</v>
      </c>
    </row>
    <row r="156" spans="1:64" ht="19.5" hidden="1" customHeight="1">
      <c r="A156" s="1386"/>
      <c r="B156" s="1335"/>
      <c r="C156" s="1384"/>
      <c r="D156" s="1384"/>
      <c r="E156" s="522">
        <f>IF(E151&lt;0,E151,0)</f>
        <v>0</v>
      </c>
      <c r="F156" s="522">
        <f>IF(F151&lt;0,F151,0)</f>
        <v>0</v>
      </c>
      <c r="G156" s="522">
        <f>IF(G151&lt;0,G151,0)</f>
        <v>0</v>
      </c>
      <c r="H156" s="522">
        <f>IF(H151&lt;0,H151,0)</f>
        <v>0</v>
      </c>
      <c r="I156" s="523">
        <f>IF(I151&lt;0,I151,0)</f>
        <v>0</v>
      </c>
    </row>
    <row r="157" spans="1:64" hidden="1">
      <c r="A157" s="1387"/>
      <c r="B157" s="1249"/>
      <c r="C157" s="637"/>
      <c r="D157" s="637"/>
      <c r="E157" s="637">
        <f>IF(E156&lt;-E67,-E67,E156)</f>
        <v>0</v>
      </c>
      <c r="F157" s="637">
        <f>IF(F156&lt;-F67,-F67,F156)</f>
        <v>0</v>
      </c>
      <c r="G157" s="637">
        <f>IF(G156&lt;-G67,-G67,G156)</f>
        <v>0</v>
      </c>
      <c r="H157" s="637">
        <f>IF(H156&lt;-H67,-H67,H156)</f>
        <v>0</v>
      </c>
      <c r="I157" s="638">
        <f>IF(I156&lt;-I67,-I67,I156)</f>
        <v>0</v>
      </c>
    </row>
    <row r="158" spans="1:64" ht="19.5" hidden="1" customHeight="1">
      <c r="A158" s="1387"/>
      <c r="B158" s="1249"/>
      <c r="C158" s="637"/>
      <c r="D158" s="637"/>
      <c r="E158" s="637">
        <f>-E157*1</f>
        <v>0</v>
      </c>
      <c r="F158" s="637">
        <f>-F157*1</f>
        <v>0</v>
      </c>
      <c r="G158" s="637">
        <f>-G157*1</f>
        <v>0</v>
      </c>
      <c r="H158" s="637">
        <f>-H157*1</f>
        <v>0</v>
      </c>
      <c r="I158" s="638">
        <f>-I157*1</f>
        <v>0</v>
      </c>
    </row>
    <row r="159" spans="1:64" ht="18" customHeight="1">
      <c r="A159" s="1388">
        <f>IF(C159&gt;0,"übertragbares Kindergeld",0)</f>
        <v>0</v>
      </c>
      <c r="B159" s="1389"/>
      <c r="C159" s="1390">
        <f>SUM(E158:I158)</f>
        <v>0</v>
      </c>
      <c r="D159" s="1391"/>
      <c r="E159" s="1391"/>
      <c r="F159" s="1391"/>
      <c r="G159" s="1391"/>
      <c r="H159" s="1391"/>
      <c r="I159" s="1392"/>
    </row>
    <row r="160" spans="1:64" ht="19.5" hidden="1" customHeight="1">
      <c r="A160" s="1388"/>
      <c r="B160" s="1380"/>
      <c r="C160" s="1390">
        <f>IF(AND(C144=0,C159&gt;0),30+AB!C202+AB!C203+AB!C210,0)</f>
        <v>0</v>
      </c>
      <c r="D160" s="1390">
        <f>IF(AND(D144=0,D159&gt;0),30+AB!D202+AB!D203+AB!D210,0)</f>
        <v>0</v>
      </c>
      <c r="E160" s="1390">
        <f>IF(AND(E144=0,E159&gt;0),30+AB!E202+AB!E203+AB!E210,0)</f>
        <v>0</v>
      </c>
      <c r="F160" s="1390">
        <f>IF(AND(F144=0,F159&gt;0),30+AB!F202+AB!F203+AB!F210,0)</f>
        <v>0</v>
      </c>
      <c r="G160" s="1390">
        <f>IF(AND(G144=0,G159&gt;0),30+AB!G202+AB!G203+AB!G210,0)</f>
        <v>0</v>
      </c>
      <c r="H160" s="1390">
        <f>IF(AND(H144=0,H159&gt;0),30+AB!H202+AB!H203+AB!H210,0)</f>
        <v>0</v>
      </c>
      <c r="I160" s="1390">
        <f>IF(AND(I144=0,I159&gt;0),30+AB!I202+AB!I203+AB!I210,0)</f>
        <v>0</v>
      </c>
    </row>
    <row r="161" spans="1:64" ht="19.5" hidden="1" customHeight="1">
      <c r="A161" s="1388"/>
      <c r="B161" s="1380"/>
      <c r="C161" s="1390">
        <f>C159-C160</f>
        <v>0</v>
      </c>
      <c r="D161" s="1391"/>
      <c r="E161" s="1391"/>
      <c r="F161" s="1391"/>
      <c r="G161" s="1391"/>
      <c r="H161" s="1391"/>
      <c r="I161" s="1392"/>
    </row>
    <row r="162" spans="1:64" ht="19.5" hidden="1" customHeight="1">
      <c r="A162" s="1388"/>
      <c r="B162" s="1380"/>
      <c r="C162" s="1390">
        <f>IF(C161&lt;0,0,C161)</f>
        <v>0</v>
      </c>
      <c r="D162" s="1391"/>
      <c r="E162" s="1391"/>
      <c r="F162" s="1391"/>
      <c r="G162" s="1391"/>
      <c r="H162" s="1391"/>
      <c r="I162" s="1392"/>
    </row>
    <row r="163" spans="1:64" ht="17.25" customHeight="1">
      <c r="A163" s="1382" t="s">
        <v>175</v>
      </c>
      <c r="B163" s="1394">
        <f>C163+D163</f>
        <v>0</v>
      </c>
      <c r="C163" s="522">
        <f>C144+C162</f>
        <v>0</v>
      </c>
      <c r="D163" s="522">
        <f>D144</f>
        <v>0</v>
      </c>
      <c r="E163" s="1395"/>
      <c r="F163" s="1395"/>
      <c r="G163" s="1395"/>
      <c r="H163" s="1395"/>
      <c r="I163" s="1396"/>
    </row>
    <row r="164" spans="1:64" hidden="1">
      <c r="A164" s="1037"/>
      <c r="B164" s="981"/>
      <c r="C164" s="637">
        <f>C149-C163</f>
        <v>409</v>
      </c>
      <c r="D164" s="637">
        <f>D149-D163</f>
        <v>0</v>
      </c>
      <c r="E164" s="981"/>
      <c r="F164" s="981"/>
      <c r="G164" s="981"/>
      <c r="H164" s="981"/>
      <c r="I164" s="1397"/>
    </row>
    <row r="165" spans="1:64" hidden="1">
      <c r="A165" s="1037"/>
      <c r="B165" s="981"/>
      <c r="C165" s="637">
        <f>-1*C164</f>
        <v>-409</v>
      </c>
      <c r="D165" s="637">
        <f>-1*D164</f>
        <v>0</v>
      </c>
      <c r="E165" s="981"/>
      <c r="F165" s="981"/>
      <c r="G165" s="981"/>
      <c r="H165" s="981"/>
      <c r="I165" s="1397"/>
    </row>
    <row r="166" spans="1:64" hidden="1">
      <c r="A166" s="1037"/>
      <c r="B166" s="981"/>
      <c r="C166" s="637">
        <f>IF(C165&gt;0,C165,0)</f>
        <v>0</v>
      </c>
      <c r="D166" s="637">
        <f>IF(D165&gt;0,D165,0)</f>
        <v>0</v>
      </c>
      <c r="E166" s="637"/>
      <c r="F166" s="637"/>
      <c r="G166" s="637"/>
      <c r="H166" s="637"/>
      <c r="I166" s="638"/>
    </row>
    <row r="167" spans="1:64">
      <c r="A167" s="1382">
        <f>IF(B167&gt;0,"./. nicht verteilbares Einkommen",0)</f>
        <v>0</v>
      </c>
      <c r="B167" s="1335">
        <f>C167+D167</f>
        <v>0</v>
      </c>
      <c r="C167" s="522">
        <f>IF(AND($B$7&gt;2,D155&gt;0,C155=0,SUM(D153:$I$153)&lt;D163),C163,IF(OR(C10="nur Mehrbedarf",C10="nein"),C163-C168,0))</f>
        <v>0</v>
      </c>
      <c r="D167" s="522">
        <f>IF(AND($B$7&gt;2,C155&gt;0,D155=0,C153+SUM($E$153:$I$153)&lt;C163),D163,IF(OR(D10="nur Mehrbedarf",D10="nein"),D163-D168,0))</f>
        <v>0</v>
      </c>
      <c r="E167" s="522"/>
      <c r="F167" s="522"/>
      <c r="G167" s="522"/>
      <c r="H167" s="522"/>
      <c r="I167" s="523"/>
    </row>
    <row r="168" spans="1:64" ht="17.25" customHeight="1">
      <c r="A168" s="1342" t="s">
        <v>2229</v>
      </c>
      <c r="B168" s="1383">
        <f>C168+D168</f>
        <v>0</v>
      </c>
      <c r="C168" s="522">
        <f>IF(AND($B$7&gt;2,D155&gt;0,C155=0,SUM(D153:$I$153)&lt;D163),0,IF(AND(C10="nur Mehrbedarf",C163&lt;C153+C172),0,IF(AND(C10="nur Mehrbedarf",C166&gt;C172),C166-C172,IF(AND(C10="nein",C166&gt;0),C166,IF(AND(C10="nur Mehrbedarf",C166=0),0,IF(AND(C10="nein",C166=0),0,C163))))))</f>
        <v>0</v>
      </c>
      <c r="D168" s="522">
        <f>IF(AND($B$7&gt;2,C155&gt;0,D155=0,C153+SUM($E$153:$I$153)&lt;C163),0,IF(AND(D10="nur Mehrbedarf",D163&lt;D153+D172),0,IF(AND(D10="nur Mehrbedarf",D166&gt;D172),D166-D172,IF(AND(D10="nein",D166&gt;0),D166,IF(AND(D10="nur Mehrbedarf",D166=0),0,IF(AND(D10="nein",D166=0),0,D163))))))</f>
        <v>0</v>
      </c>
      <c r="E168" s="889"/>
      <c r="F168" s="889"/>
      <c r="G168" s="889"/>
      <c r="H168" s="889"/>
      <c r="I168" s="1398"/>
    </row>
    <row r="169" spans="1:64" ht="17.25" hidden="1" customHeight="1">
      <c r="A169" s="1399"/>
      <c r="B169" s="1361">
        <f>SUM(C169:I169)</f>
        <v>0</v>
      </c>
      <c r="C169" s="522">
        <f>IF(AND($B$155=0,D153=0),C168,IF(AND($B$155=0,D168&gt;0,C153&gt;0),D168,IF(AND($B$7&gt;2,C155=0,D155=0,D168&gt;$E$153+$F$153+$G$153+$H$153+$I$153),D168-($E$169+$F$169+$G$169+$H$169+$I$169),IF(AND($B$7=2,C155&gt;0,D10="nur Mehrbedarf",D172+D153&gt;D163,C163&gt;C153),C153,$B$168*C155))))</f>
        <v>0</v>
      </c>
      <c r="D169" s="522">
        <f>IF(AND($B$155=0,C153=0),D168,IF(AND($B$155=0,C168&gt;0,D153&gt;0),C168,IF(AND($B$7&gt;2,D153&gt;0,D155=0,C155=0,C168&gt;$E$153+$F$153+$G$153+$H$153+$I$153),C168-($E$169+$F$169+$G$169+$H$169+$I$169),IF(AND($B$7=2,C10="nur Mehrbedarf",D155&gt;0,C172+C153&gt;C163,D163&gt;D153),D153,$B$168*D155))))</f>
        <v>0</v>
      </c>
      <c r="E169" s="1016">
        <f>IF(AND($C$172&gt;0,$C$168=0,$B$168*E155&gt;E153,$D$168&lt;$D$153+SUM($E$153:$I$153)),E153,IF(AND($D$172&gt;0,$D$168=0,$B$168*E155&gt;E153,$C$168&lt;$C$153+SUM($E$153:$I$153)),E153,$B$168*E155))</f>
        <v>0</v>
      </c>
      <c r="F169" s="1016">
        <f>IF(AND($C$172&gt;0,$C$168=0,$B$168*F155&gt;F153,$D$168&lt;$D$153+SUM($E$153:$I$153)),F153,IF(AND($D$172&gt;0,$D$168=0,$B$168*F155&gt;F153,$C$168&lt;$C$153+SUM($E$153:$I$153)),F153,$B$168*F155))</f>
        <v>0</v>
      </c>
      <c r="G169" s="1016">
        <f>IF(AND($C$172&gt;0,$C$168=0,$B$168*G155&gt;G153,$D$168&lt;$D$153+SUM($E$153:$I$153)),G153,IF(AND($D$172&gt;0,$D$168=0,$B$168*G155&gt;G153,$C$168&lt;$C$153+SUM($E$153:$I$153)),G153,$B$168*G155))</f>
        <v>0</v>
      </c>
      <c r="H169" s="1016">
        <f>IF(AND($C$172&gt;0,$C$168=0,$B$168*H155&gt;H153,$D$168&lt;$D$153+SUM($E$153:$I$153)),H153,IF(AND($D$172&gt;0,$D$168=0,$B$168*H155&gt;H153,$C$168&lt;$C$153+SUM($E$153:$I$153)),H153,$B$168*H155))</f>
        <v>0</v>
      </c>
      <c r="I169" s="1016">
        <f>IF(AND($C$172&gt;0,$C$168=0,$B$168*I155&gt;I153,$D$168&lt;$D$153+SUM($E$153:$I$153)),I153,IF(AND($D$172&gt;0,$D$168=0,$B$168*I155&gt;I153,$C$168&lt;$C$153+SUM($E$153:$I$153)),I153,$B$168*I155))</f>
        <v>0</v>
      </c>
    </row>
    <row r="170" spans="1:64" ht="18.75" customHeight="1">
      <c r="A170" s="1376" t="s">
        <v>2230</v>
      </c>
      <c r="B170" s="1357">
        <f>SUM(C170:I170)</f>
        <v>0</v>
      </c>
      <c r="C170" s="1400">
        <f>IF(C169&lt;0,0,IF(AND(C172&gt;0,D168&gt;0,D168&lt;&gt;C169,C168&gt;0,C167&lt;C153+C172),C168+C169,IF(AND(D155&gt;0,C155=0,D168&gt;D169+E169+F169+G169+H169+I169),D168-D169-E169-F169-G169-H169-I169,IF(AND($B$7=2,$B$155=0,C168&gt;0,D168&gt;0),C168,IF(AND($B$7&gt;2,C155+D155=0,C168&gt;0,D168&gt;0),($B$168-E169-F169-G169-H169-I169)*C153/(C153+D153),C169)))))</f>
        <v>0</v>
      </c>
      <c r="D170" s="1400">
        <f>IF(D169&lt;0,0,IF(AND(D172&gt;0,C168&gt;0,C168&lt;&gt;D169,D168&gt;0,D167&lt;D153+D172),D168+D169,IF(AND(C155&gt;0,D155=0,C168&gt;C169+E169+F169+G169+H169+I169),C168-C169-E169-F169-G169-H169-I169,IF(AND($B$7=2,$B$155=0,C168&gt;0,D168&gt;0),D168,IF(AND($B$7&gt;2,C155+D155=0,C168&gt;0,D168&gt;0),($B$168-E169-F169-G169-H169-I169)*D153/(C153+D153),D169)))))</f>
        <v>0</v>
      </c>
      <c r="E170" s="1401">
        <f>IF(AND($C$169=0,$D$169=0,$B$169&lt;$B$168),$B$168*E155,E169)</f>
        <v>0</v>
      </c>
      <c r="F170" s="1401">
        <f>IF(AND($C$169=0,$D$169=0,$B$169&lt;$B$168),$B$168*F155,F169)</f>
        <v>0</v>
      </c>
      <c r="G170" s="1401">
        <f>IF(AND($C$169=0,$D$169=0,$B$169&lt;$B$168),$B$168*G155,G169)</f>
        <v>0</v>
      </c>
      <c r="H170" s="1401">
        <f>IF(AND($C$169=0,$D$169=0,$B$169&lt;$B$168),$B$168*H155,H169)</f>
        <v>0</v>
      </c>
      <c r="I170" s="1402">
        <f>IF(AND($C$169=0,$D$169=0,$B$169&lt;$B$168),$B$168*I155,I169)</f>
        <v>0</v>
      </c>
    </row>
    <row r="171" spans="1:64" ht="19.5" customHeight="1">
      <c r="A171" s="1403" t="s">
        <v>2172</v>
      </c>
      <c r="B171" s="1365">
        <f>SUM(C171:I171)</f>
        <v>409</v>
      </c>
      <c r="C171" s="1365">
        <f>C153-C167-C170</f>
        <v>409</v>
      </c>
      <c r="D171" s="1365">
        <f>D153-D167-D170</f>
        <v>0</v>
      </c>
      <c r="E171" s="1365">
        <f>E153-E170</f>
        <v>0</v>
      </c>
      <c r="F171" s="1365">
        <f>F153-F170</f>
        <v>0</v>
      </c>
      <c r="G171" s="1365">
        <f>G153-G170</f>
        <v>0</v>
      </c>
      <c r="H171" s="1365">
        <f>H153-H170</f>
        <v>0</v>
      </c>
      <c r="I171" s="1404">
        <f>I153-I170</f>
        <v>0</v>
      </c>
    </row>
    <row r="172" spans="1:64" ht="18" customHeight="1">
      <c r="A172" s="1405">
        <f>IF(B172&gt;0,"Mehrbedarf nach § 27 (2) SGB II",0)</f>
        <v>0</v>
      </c>
      <c r="B172" s="1406">
        <f>SUM(C172:I172)</f>
        <v>0</v>
      </c>
      <c r="C172" s="1016">
        <f>IF(C10="nur Mehrbedarf",AB!C45+AB!B46+AB!C93+AB!C94,0)</f>
        <v>0</v>
      </c>
      <c r="D172" s="1016">
        <f>IF(D10="nur Mehrbedarf",AB!D45+AB!D93+AB!D94,0)</f>
        <v>0</v>
      </c>
      <c r="E172" s="522"/>
      <c r="F172" s="522"/>
      <c r="G172" s="522"/>
      <c r="H172" s="522"/>
      <c r="I172" s="523"/>
    </row>
    <row r="173" spans="1:64" ht="17.25" customHeight="1">
      <c r="A173" s="1607">
        <f>IF(B173&gt;0,"./. Überschuss",0)</f>
        <v>0</v>
      </c>
      <c r="B173" s="1608">
        <f>SUM(C173:I173)</f>
        <v>0</v>
      </c>
      <c r="C173" s="634">
        <f>IF(AND(C10="nur Mehrbedarf",$B$171&lt;0,D171&lt;0),$B$171*-1,IF(AND(C10="nur Mehrbedarf",$B$171&lt;0,$E$171&lt;0),$B$171*-1,IF(AND(C10="nur Mehrbedarf",D171&gt;=0,C171&lt;0),C171*-1,0)))</f>
        <v>0</v>
      </c>
      <c r="D173" s="634">
        <f>IF(AND(D10="nur Mehrbedarf",$B$171&lt;0,C171&lt;0),$B$171*-1,IF(AND(D10="nur Mehrbedarf",$B$171&lt;0,$E$171&lt;0),$B$171*-1,IF(AND(D10="nur Mehrbedarf",C171&gt;=0,D171&lt;0),D171*-1,0)))</f>
        <v>0</v>
      </c>
      <c r="E173" s="634"/>
      <c r="F173" s="634"/>
      <c r="G173" s="634"/>
      <c r="H173" s="634"/>
      <c r="I173" s="635"/>
    </row>
    <row r="174" spans="1:64" ht="18" customHeight="1">
      <c r="A174" s="1609"/>
      <c r="B174" s="1610"/>
      <c r="C174" s="1024"/>
      <c r="D174" s="1024"/>
      <c r="E174" s="1024"/>
      <c r="F174" s="1024"/>
      <c r="G174" s="1024"/>
      <c r="H174" s="1024"/>
      <c r="I174" s="1025"/>
    </row>
    <row r="175" spans="1:64" ht="16.5" hidden="1" customHeight="1">
      <c r="A175" s="1417"/>
      <c r="B175" s="1418"/>
      <c r="C175" s="1419">
        <f>IF(C10="nur Mehrbedarf",C172-C173,0)</f>
        <v>0</v>
      </c>
      <c r="D175" s="1419">
        <f>IF(D10="nur Mehrbedarf",D172-D173,0)</f>
        <v>0</v>
      </c>
      <c r="E175" s="1419"/>
      <c r="F175" s="1419"/>
      <c r="G175" s="1419"/>
      <c r="H175" s="1419"/>
      <c r="I175" s="1420"/>
      <c r="J175" s="1080"/>
      <c r="K175" s="1207"/>
      <c r="L175" s="1207"/>
      <c r="M175" s="1080"/>
      <c r="N175" s="1080"/>
      <c r="O175" s="1080"/>
      <c r="P175" s="1080"/>
      <c r="Q175" s="1080"/>
      <c r="R175" s="1080"/>
      <c r="S175" s="1080"/>
      <c r="T175" s="1080"/>
      <c r="U175" s="1080"/>
      <c r="V175" s="1080"/>
      <c r="W175" s="1080"/>
      <c r="X175" s="1080"/>
      <c r="Y175" s="1080"/>
      <c r="Z175" s="1080"/>
      <c r="AA175" s="1080"/>
      <c r="AB175" s="1080"/>
      <c r="AC175" s="1080"/>
      <c r="AD175" s="1080"/>
      <c r="AE175" s="1080"/>
      <c r="AF175" s="1080"/>
      <c r="AG175" s="1080"/>
      <c r="AH175" s="1080"/>
      <c r="AI175" s="1080"/>
      <c r="AJ175" s="1080"/>
      <c r="AK175" s="1080"/>
      <c r="AL175" s="1080"/>
      <c r="AM175" s="1080"/>
      <c r="AN175" s="1080"/>
      <c r="AO175" s="1080"/>
      <c r="AP175" s="1080"/>
      <c r="AQ175" s="1080"/>
      <c r="AR175" s="1080"/>
      <c r="AS175" s="1080"/>
      <c r="AT175" s="1080"/>
      <c r="AU175" s="1080"/>
      <c r="AV175" s="1080"/>
      <c r="AW175" s="1080"/>
      <c r="AX175" s="1080"/>
      <c r="AY175" s="1080"/>
      <c r="AZ175" s="1080"/>
      <c r="BA175" s="1080"/>
      <c r="BB175" s="1080"/>
      <c r="BC175" s="1080"/>
      <c r="BD175" s="1080"/>
      <c r="BE175" s="1080"/>
      <c r="BF175" s="1080"/>
      <c r="BG175" s="1080"/>
      <c r="BH175" s="1080"/>
      <c r="BI175" s="1080"/>
      <c r="BJ175" s="1080"/>
      <c r="BK175" s="1080"/>
      <c r="BL175" s="1080"/>
    </row>
    <row r="176" spans="1:64" ht="17.25" hidden="1" customHeight="1">
      <c r="A176" s="1421"/>
      <c r="B176" s="1413">
        <f>SUM(C176:I176)</f>
        <v>409</v>
      </c>
      <c r="C176" s="1413">
        <f>IF(C10="nur Mehrbedarf",C175,C171-C174)</f>
        <v>409</v>
      </c>
      <c r="D176" s="1413">
        <f>IF(D10="nur Mehrbedarf",D175,D171-D174)</f>
        <v>0</v>
      </c>
      <c r="E176" s="1413">
        <f>E171-E174</f>
        <v>0</v>
      </c>
      <c r="F176" s="1413">
        <f>F171-F174</f>
        <v>0</v>
      </c>
      <c r="G176" s="1413">
        <f>G171-G174</f>
        <v>0</v>
      </c>
      <c r="H176" s="1413">
        <f>H171-H174</f>
        <v>0</v>
      </c>
      <c r="I176" s="1422">
        <f>I171-I174</f>
        <v>0</v>
      </c>
    </row>
    <row r="177" spans="1:9" ht="24" customHeight="1">
      <c r="A177" s="1423" t="s">
        <v>2173</v>
      </c>
      <c r="B177" s="1424">
        <f>SUM(C177:I177)</f>
        <v>409</v>
      </c>
      <c r="C177" s="1424">
        <f t="shared" ref="C177:I177" si="29">IF(C10="nein",0,IF(C176&lt;0,0,C176))</f>
        <v>409</v>
      </c>
      <c r="D177" s="1424">
        <f t="shared" si="29"/>
        <v>0</v>
      </c>
      <c r="E177" s="1424">
        <f t="shared" si="29"/>
        <v>0</v>
      </c>
      <c r="F177" s="1424">
        <f t="shared" si="29"/>
        <v>0</v>
      </c>
      <c r="G177" s="1424">
        <f t="shared" si="29"/>
        <v>0</v>
      </c>
      <c r="H177" s="1424">
        <f t="shared" si="29"/>
        <v>0</v>
      </c>
      <c r="I177" s="1425">
        <f t="shared" si="29"/>
        <v>0</v>
      </c>
    </row>
    <row r="178" spans="1:9" ht="15.75" customHeight="1">
      <c r="A178" s="1274"/>
    </row>
    <row r="179" spans="1:9" ht="14.25" hidden="1" customHeight="1">
      <c r="C179" s="1611">
        <f t="shared" ref="C179:I179" si="30">C177-C47</f>
        <v>409</v>
      </c>
      <c r="D179" s="1611">
        <f t="shared" si="30"/>
        <v>0</v>
      </c>
      <c r="E179" s="1611">
        <f t="shared" si="30"/>
        <v>0</v>
      </c>
      <c r="F179" s="1611">
        <f t="shared" si="30"/>
        <v>0</v>
      </c>
      <c r="G179" s="1611">
        <f t="shared" si="30"/>
        <v>0</v>
      </c>
      <c r="H179" s="1611">
        <f t="shared" si="30"/>
        <v>0</v>
      </c>
      <c r="I179" s="1611">
        <f t="shared" si="30"/>
        <v>0</v>
      </c>
    </row>
    <row r="180" spans="1:9" ht="20.25">
      <c r="A180" s="1217"/>
      <c r="B180" s="1218"/>
      <c r="C180" s="1219"/>
      <c r="D180" s="1219"/>
      <c r="E180" s="1219"/>
      <c r="F180" s="1219"/>
      <c r="G180" s="1219"/>
      <c r="H180" s="1219"/>
      <c r="I180" s="1219"/>
    </row>
    <row r="181" spans="1:9" ht="21" hidden="1" customHeight="1">
      <c r="A181" s="1220"/>
      <c r="B181" s="1221"/>
      <c r="C181" s="1221"/>
      <c r="D181" s="1221"/>
      <c r="E181" s="1221"/>
      <c r="F181" s="1221"/>
      <c r="G181" s="1221"/>
      <c r="H181" s="1221"/>
      <c r="I181" s="1221"/>
    </row>
    <row r="182" spans="1:9" ht="21" hidden="1" customHeight="1">
      <c r="A182" s="1545" t="s">
        <v>2174</v>
      </c>
      <c r="B182" s="1317"/>
      <c r="C182" s="1546"/>
      <c r="D182" s="1546"/>
      <c r="E182" s="1546"/>
      <c r="F182" s="1546"/>
      <c r="G182" s="1546"/>
      <c r="H182" s="1546"/>
      <c r="I182" s="1547"/>
    </row>
    <row r="183" spans="1:9" ht="18.75" hidden="1" customHeight="1">
      <c r="A183" s="839"/>
      <c r="B183" s="1322" t="s">
        <v>246</v>
      </c>
      <c r="C183" s="1322" t="str">
        <f>AB!C4</f>
        <v>Antragsteller</v>
      </c>
      <c r="D183" s="1322" t="str">
        <f>AB!D4</f>
        <v>Partner(in)</v>
      </c>
      <c r="E183" s="1322" t="str">
        <f>AB!E4</f>
        <v>Kind 1</v>
      </c>
      <c r="F183" s="1322" t="str">
        <f>AB!F4</f>
        <v>Kind 2</v>
      </c>
      <c r="G183" s="1322" t="str">
        <f>AB!G4</f>
        <v>Kind 3</v>
      </c>
      <c r="H183" s="1322" t="str">
        <f>AB!H4</f>
        <v>Kind 4</v>
      </c>
      <c r="I183" s="1323" t="str">
        <f>AB!I4</f>
        <v>Kind 5</v>
      </c>
    </row>
    <row r="184" spans="1:9" ht="18.75" hidden="1" customHeight="1">
      <c r="A184" s="839"/>
      <c r="B184" s="1222"/>
      <c r="C184" s="1223">
        <f t="shared" ref="C184:I184" si="31">IF(C10="ja",C11+C13+C14+C15+C16+C17+C18+C19,0)</f>
        <v>409</v>
      </c>
      <c r="D184" s="1223">
        <f t="shared" si="31"/>
        <v>0</v>
      </c>
      <c r="E184" s="1223">
        <f t="shared" si="31"/>
        <v>0</v>
      </c>
      <c r="F184" s="1223">
        <f t="shared" si="31"/>
        <v>0</v>
      </c>
      <c r="G184" s="1223">
        <f t="shared" si="31"/>
        <v>0</v>
      </c>
      <c r="H184" s="1223">
        <f t="shared" si="31"/>
        <v>0</v>
      </c>
      <c r="I184" s="1224">
        <f t="shared" si="31"/>
        <v>0</v>
      </c>
    </row>
    <row r="185" spans="1:9" ht="18.75" hidden="1" customHeight="1">
      <c r="A185" s="839" t="s">
        <v>2175</v>
      </c>
      <c r="B185" s="1335">
        <f>SUM(C185:I185)</f>
        <v>409</v>
      </c>
      <c r="C185" s="1016">
        <f t="shared" ref="C185:I185" si="32">IF(C10="ja",C11+C13+C14+C15+C16+C17+C18+C19+C49,IF(C10="nur Mehrbedarf",C177,0))</f>
        <v>409</v>
      </c>
      <c r="D185" s="1016">
        <f t="shared" si="32"/>
        <v>0</v>
      </c>
      <c r="E185" s="1016">
        <f t="shared" si="32"/>
        <v>0</v>
      </c>
      <c r="F185" s="1016">
        <f t="shared" si="32"/>
        <v>0</v>
      </c>
      <c r="G185" s="1016">
        <f t="shared" si="32"/>
        <v>0</v>
      </c>
      <c r="H185" s="1016">
        <f t="shared" si="32"/>
        <v>0</v>
      </c>
      <c r="I185" s="1017">
        <f t="shared" si="32"/>
        <v>0</v>
      </c>
    </row>
    <row r="186" spans="1:9" ht="18.75" hidden="1" customHeight="1">
      <c r="A186" s="1225" t="s">
        <v>2176</v>
      </c>
      <c r="B186" s="1335">
        <f>SUM(C186:I186)</f>
        <v>0</v>
      </c>
      <c r="C186" s="1016">
        <f t="shared" ref="C186:I186" si="33">C174</f>
        <v>0</v>
      </c>
      <c r="D186" s="1016">
        <f t="shared" si="33"/>
        <v>0</v>
      </c>
      <c r="E186" s="1016">
        <f t="shared" si="33"/>
        <v>0</v>
      </c>
      <c r="F186" s="1016">
        <f t="shared" si="33"/>
        <v>0</v>
      </c>
      <c r="G186" s="1016">
        <f t="shared" si="33"/>
        <v>0</v>
      </c>
      <c r="H186" s="1016">
        <f t="shared" si="33"/>
        <v>0</v>
      </c>
      <c r="I186" s="1017">
        <f t="shared" si="33"/>
        <v>0</v>
      </c>
    </row>
    <row r="187" spans="1:9" ht="19.5" hidden="1" customHeight="1">
      <c r="A187" s="1226" t="s">
        <v>2177</v>
      </c>
      <c r="B187" s="1357">
        <f>SUM(C187:I187)</f>
        <v>0</v>
      </c>
      <c r="C187" s="1227">
        <f>IF(C185=0,0,C170)</f>
        <v>0</v>
      </c>
      <c r="D187" s="1227">
        <f>IF(D185=0,0,D170)</f>
        <v>0</v>
      </c>
      <c r="E187" s="1227">
        <f>IF(E185=0,0,E150+E170)</f>
        <v>0</v>
      </c>
      <c r="F187" s="1227">
        <f>IF(F185=0,0,F150+F170)</f>
        <v>0</v>
      </c>
      <c r="G187" s="1227">
        <f>IF(G185=0,0,G150+G170)</f>
        <v>0</v>
      </c>
      <c r="H187" s="1227">
        <f>IF(H185=0,0,H150+H170)</f>
        <v>0</v>
      </c>
      <c r="I187" s="1228">
        <f>IF(I185=0,0,I150+I170)</f>
        <v>0</v>
      </c>
    </row>
    <row r="188" spans="1:9" ht="21" hidden="1" customHeight="1">
      <c r="A188" s="833"/>
      <c r="B188" s="637"/>
      <c r="C188" s="1229">
        <f t="shared" ref="C188:I188" si="34">IF(C184=0,0,C170)</f>
        <v>0</v>
      </c>
      <c r="D188" s="1229">
        <f t="shared" si="34"/>
        <v>0</v>
      </c>
      <c r="E188" s="1229">
        <f t="shared" si="34"/>
        <v>0</v>
      </c>
      <c r="F188" s="1229">
        <f t="shared" si="34"/>
        <v>0</v>
      </c>
      <c r="G188" s="1229">
        <f t="shared" si="34"/>
        <v>0</v>
      </c>
      <c r="H188" s="1229">
        <f t="shared" si="34"/>
        <v>0</v>
      </c>
      <c r="I188" s="1230">
        <f t="shared" si="34"/>
        <v>0</v>
      </c>
    </row>
    <row r="189" spans="1:9" ht="21" hidden="1" customHeight="1">
      <c r="A189" s="833"/>
      <c r="B189" s="637"/>
      <c r="C189" s="637">
        <f t="shared" ref="C189:I189" si="35">C185-C186-C187</f>
        <v>409</v>
      </c>
      <c r="D189" s="637">
        <f t="shared" si="35"/>
        <v>0</v>
      </c>
      <c r="E189" s="637">
        <f t="shared" si="35"/>
        <v>0</v>
      </c>
      <c r="F189" s="637">
        <f t="shared" si="35"/>
        <v>0</v>
      </c>
      <c r="G189" s="637">
        <f t="shared" si="35"/>
        <v>0</v>
      </c>
      <c r="H189" s="637">
        <f t="shared" si="35"/>
        <v>0</v>
      </c>
      <c r="I189" s="638">
        <f t="shared" si="35"/>
        <v>0</v>
      </c>
    </row>
    <row r="190" spans="1:9" ht="21" hidden="1" customHeight="1">
      <c r="A190" s="833"/>
      <c r="B190" s="637"/>
      <c r="C190" s="1231">
        <f>C184-C188</f>
        <v>409</v>
      </c>
      <c r="D190" s="1231">
        <f t="shared" ref="D190:I190" si="36">D184-D187</f>
        <v>0</v>
      </c>
      <c r="E190" s="1231">
        <f t="shared" si="36"/>
        <v>0</v>
      </c>
      <c r="F190" s="1231">
        <f t="shared" si="36"/>
        <v>0</v>
      </c>
      <c r="G190" s="1231">
        <f t="shared" si="36"/>
        <v>0</v>
      </c>
      <c r="H190" s="1231">
        <f t="shared" si="36"/>
        <v>0</v>
      </c>
      <c r="I190" s="1232">
        <f t="shared" si="36"/>
        <v>0</v>
      </c>
    </row>
    <row r="191" spans="1:9" ht="21" hidden="1" customHeight="1">
      <c r="A191" s="1233" t="s">
        <v>2178</v>
      </c>
      <c r="B191" s="1234">
        <f>SUM(C191:I191)</f>
        <v>409</v>
      </c>
      <c r="C191" s="1234">
        <f t="shared" ref="C191:I192" si="37">IF(C189&lt;0,0,C189)</f>
        <v>409</v>
      </c>
      <c r="D191" s="1234">
        <f t="shared" si="37"/>
        <v>0</v>
      </c>
      <c r="E191" s="1234">
        <f t="shared" si="37"/>
        <v>0</v>
      </c>
      <c r="F191" s="1234">
        <f t="shared" si="37"/>
        <v>0</v>
      </c>
      <c r="G191" s="1234">
        <f t="shared" si="37"/>
        <v>0</v>
      </c>
      <c r="H191" s="1234">
        <f t="shared" si="37"/>
        <v>0</v>
      </c>
      <c r="I191" s="1235">
        <f t="shared" si="37"/>
        <v>0</v>
      </c>
    </row>
    <row r="192" spans="1:9" ht="21" hidden="1" customHeight="1">
      <c r="A192" s="1236"/>
      <c r="B192" s="1221"/>
      <c r="C192" s="1237">
        <f t="shared" si="37"/>
        <v>409</v>
      </c>
      <c r="D192" s="1237">
        <f t="shared" si="37"/>
        <v>0</v>
      </c>
      <c r="E192" s="1237">
        <f t="shared" si="37"/>
        <v>0</v>
      </c>
      <c r="F192" s="1237">
        <f t="shared" si="37"/>
        <v>0</v>
      </c>
      <c r="G192" s="1237">
        <f t="shared" si="37"/>
        <v>0</v>
      </c>
      <c r="H192" s="1237">
        <f t="shared" si="37"/>
        <v>0</v>
      </c>
      <c r="I192" s="1238">
        <f t="shared" si="37"/>
        <v>0</v>
      </c>
    </row>
    <row r="193" spans="1:64" ht="21" hidden="1" customHeight="1">
      <c r="A193" s="1239" t="s">
        <v>2179</v>
      </c>
      <c r="B193" s="1548"/>
      <c r="C193" s="1241">
        <f t="shared" ref="C193:I194" si="38">IF(C189&lt;0,C189,0)*-1</f>
        <v>0</v>
      </c>
      <c r="D193" s="1241">
        <f t="shared" si="38"/>
        <v>0</v>
      </c>
      <c r="E193" s="1241">
        <f t="shared" si="38"/>
        <v>0</v>
      </c>
      <c r="F193" s="1241">
        <f t="shared" si="38"/>
        <v>0</v>
      </c>
      <c r="G193" s="1241">
        <f t="shared" si="38"/>
        <v>0</v>
      </c>
      <c r="H193" s="1241">
        <f t="shared" si="38"/>
        <v>0</v>
      </c>
      <c r="I193" s="1242">
        <f t="shared" si="38"/>
        <v>0</v>
      </c>
    </row>
    <row r="194" spans="1:64" ht="21" hidden="1" customHeight="1">
      <c r="A194" s="833"/>
      <c r="B194" s="1249"/>
      <c r="C194" s="1244">
        <f t="shared" si="38"/>
        <v>0</v>
      </c>
      <c r="D194" s="1244">
        <f t="shared" si="38"/>
        <v>0</v>
      </c>
      <c r="E194" s="1244">
        <f t="shared" si="38"/>
        <v>0</v>
      </c>
      <c r="F194" s="1244">
        <f t="shared" si="38"/>
        <v>0</v>
      </c>
      <c r="G194" s="1244">
        <f t="shared" si="38"/>
        <v>0</v>
      </c>
      <c r="H194" s="1244">
        <f t="shared" si="38"/>
        <v>0</v>
      </c>
      <c r="I194" s="1245">
        <f t="shared" si="38"/>
        <v>0</v>
      </c>
    </row>
    <row r="195" spans="1:64" ht="21" hidden="1" customHeight="1">
      <c r="A195" s="1246" t="s">
        <v>2180</v>
      </c>
      <c r="B195" s="1365">
        <f>SUM(C195:I195)</f>
        <v>0</v>
      </c>
      <c r="C195" s="1008">
        <f t="shared" ref="C195:I195" si="39">IF(C10="ja",C47,0)</f>
        <v>0</v>
      </c>
      <c r="D195" s="1008">
        <f t="shared" si="39"/>
        <v>0</v>
      </c>
      <c r="E195" s="1008">
        <f t="shared" si="39"/>
        <v>0</v>
      </c>
      <c r="F195" s="1008">
        <f t="shared" si="39"/>
        <v>0</v>
      </c>
      <c r="G195" s="1008">
        <f t="shared" si="39"/>
        <v>0</v>
      </c>
      <c r="H195" s="1008">
        <f t="shared" si="39"/>
        <v>0</v>
      </c>
      <c r="I195" s="1009">
        <f t="shared" si="39"/>
        <v>0</v>
      </c>
    </row>
    <row r="196" spans="1:64" ht="21" hidden="1" customHeight="1">
      <c r="A196" s="1226" t="s">
        <v>2181</v>
      </c>
      <c r="B196" s="1549">
        <f>SUM(C196:I196)</f>
        <v>0</v>
      </c>
      <c r="C196" s="1227">
        <f t="shared" ref="C196:I196" si="40">IF(C195&lt;C193,C195,C193)</f>
        <v>0</v>
      </c>
      <c r="D196" s="1227">
        <f t="shared" si="40"/>
        <v>0</v>
      </c>
      <c r="E196" s="1227">
        <f t="shared" si="40"/>
        <v>0</v>
      </c>
      <c r="F196" s="1227">
        <f t="shared" si="40"/>
        <v>0</v>
      </c>
      <c r="G196" s="1227">
        <f t="shared" si="40"/>
        <v>0</v>
      </c>
      <c r="H196" s="1227">
        <f t="shared" si="40"/>
        <v>0</v>
      </c>
      <c r="I196" s="1228">
        <f t="shared" si="40"/>
        <v>0</v>
      </c>
    </row>
    <row r="197" spans="1:64" ht="21" hidden="1" customHeight="1">
      <c r="A197" s="1248"/>
      <c r="B197" s="1249"/>
      <c r="C197" s="1250">
        <f t="shared" ref="C197:I197" si="41">IF(C195&lt;C194,C195,C194)</f>
        <v>0</v>
      </c>
      <c r="D197" s="1250">
        <f t="shared" si="41"/>
        <v>0</v>
      </c>
      <c r="E197" s="1250">
        <f t="shared" si="41"/>
        <v>0</v>
      </c>
      <c r="F197" s="1250">
        <f t="shared" si="41"/>
        <v>0</v>
      </c>
      <c r="G197" s="1250">
        <f t="shared" si="41"/>
        <v>0</v>
      </c>
      <c r="H197" s="1250">
        <f t="shared" si="41"/>
        <v>0</v>
      </c>
      <c r="I197" s="1251">
        <f t="shared" si="41"/>
        <v>0</v>
      </c>
    </row>
    <row r="198" spans="1:64" ht="21" hidden="1" customHeight="1">
      <c r="A198" s="1248"/>
      <c r="B198" s="1249"/>
      <c r="C198" s="1252">
        <f t="shared" ref="C198:I198" si="42">C195-C197</f>
        <v>0</v>
      </c>
      <c r="D198" s="1252">
        <f t="shared" si="42"/>
        <v>0</v>
      </c>
      <c r="E198" s="1252">
        <f t="shared" si="42"/>
        <v>0</v>
      </c>
      <c r="F198" s="1252">
        <f t="shared" si="42"/>
        <v>0</v>
      </c>
      <c r="G198" s="1252">
        <f t="shared" si="42"/>
        <v>0</v>
      </c>
      <c r="H198" s="1252">
        <f t="shared" si="42"/>
        <v>0</v>
      </c>
      <c r="I198" s="1253">
        <f t="shared" si="42"/>
        <v>0</v>
      </c>
    </row>
    <row r="199" spans="1:64" ht="21" hidden="1" customHeight="1">
      <c r="A199" s="1254" t="s">
        <v>2182</v>
      </c>
      <c r="B199" s="1255">
        <f>SUM(C199:I199)</f>
        <v>0</v>
      </c>
      <c r="C199" s="1256">
        <f t="shared" ref="C199:I199" si="43">IF(C196&lt;0,C195,C195-C196)</f>
        <v>0</v>
      </c>
      <c r="D199" s="1256">
        <f t="shared" si="43"/>
        <v>0</v>
      </c>
      <c r="E199" s="1256">
        <f t="shared" si="43"/>
        <v>0</v>
      </c>
      <c r="F199" s="1256">
        <f t="shared" si="43"/>
        <v>0</v>
      </c>
      <c r="G199" s="1256">
        <f t="shared" si="43"/>
        <v>0</v>
      </c>
      <c r="H199" s="1256">
        <f t="shared" si="43"/>
        <v>0</v>
      </c>
      <c r="I199" s="1257">
        <f t="shared" si="43"/>
        <v>0</v>
      </c>
    </row>
    <row r="200" spans="1:64" ht="18" hidden="1" customHeight="1">
      <c r="A200" s="1220"/>
      <c r="B200" s="1221"/>
      <c r="C200" s="1221"/>
      <c r="D200" s="1221"/>
      <c r="E200" s="1221"/>
      <c r="F200" s="1221"/>
      <c r="G200" s="1221"/>
      <c r="H200" s="1221"/>
      <c r="I200" s="1221"/>
    </row>
    <row r="202" spans="1:64" ht="18.75" customHeight="1">
      <c r="A202" s="1612" t="s">
        <v>2326</v>
      </c>
      <c r="B202" s="1613"/>
      <c r="C202" s="1459"/>
      <c r="D202" s="1459"/>
      <c r="E202" s="1459"/>
      <c r="F202" s="1612" t="s">
        <v>2327</v>
      </c>
      <c r="G202" s="1613"/>
      <c r="H202" s="1613"/>
      <c r="I202" s="1613"/>
      <c r="J202" s="1459"/>
      <c r="K202" s="1459"/>
      <c r="L202" s="1459"/>
      <c r="M202" s="1459"/>
      <c r="N202" s="1459"/>
      <c r="O202" s="1459"/>
      <c r="P202" s="1459"/>
      <c r="Q202" s="1459"/>
      <c r="R202" s="1459"/>
      <c r="S202" s="1459"/>
      <c r="T202" s="1459"/>
      <c r="U202" s="1459"/>
      <c r="V202" s="1459"/>
      <c r="W202" s="1459"/>
      <c r="X202" s="1459"/>
      <c r="Y202" s="1459"/>
      <c r="Z202" s="1459"/>
      <c r="AA202" s="1459"/>
      <c r="AB202" s="1459"/>
      <c r="AC202" s="1459"/>
      <c r="AD202" s="1459"/>
      <c r="AE202" s="1459"/>
      <c r="AF202" s="1459"/>
      <c r="AG202" s="1459"/>
      <c r="AH202" s="1459"/>
      <c r="AI202" s="1459"/>
      <c r="AJ202" s="1459"/>
      <c r="AK202" s="1459"/>
      <c r="AL202" s="1459"/>
      <c r="AM202" s="1459"/>
      <c r="AN202" s="1459"/>
      <c r="AO202" s="1459"/>
      <c r="AP202" s="1459"/>
      <c r="AQ202" s="1459"/>
      <c r="AR202" s="1459"/>
      <c r="AS202" s="1459"/>
      <c r="AT202" s="1459"/>
      <c r="AU202" s="1459"/>
      <c r="AV202" s="1459"/>
      <c r="AW202" s="1459"/>
      <c r="AX202" s="1459"/>
      <c r="AY202" s="1459"/>
      <c r="AZ202" s="1459"/>
      <c r="BA202" s="1459"/>
      <c r="BB202" s="1459"/>
      <c r="BC202" s="1459"/>
      <c r="BD202" s="1459"/>
      <c r="BE202" s="1459"/>
      <c r="BF202" s="1459"/>
      <c r="BG202" s="1459"/>
      <c r="BH202" s="1459"/>
      <c r="BI202" s="1459"/>
      <c r="BJ202" s="1459"/>
      <c r="BK202" s="1459"/>
      <c r="BL202" s="1459"/>
    </row>
    <row r="203" spans="1:64">
      <c r="A203" s="1258" t="s">
        <v>2183</v>
      </c>
      <c r="B203" s="1259"/>
      <c r="C203" s="981"/>
      <c r="D203" s="981"/>
      <c r="E203" s="1459"/>
      <c r="J203" s="1459"/>
      <c r="K203" s="1459"/>
      <c r="L203" s="1459"/>
      <c r="M203" s="1459"/>
      <c r="N203" s="1459"/>
      <c r="O203" s="1459"/>
      <c r="P203" s="1459"/>
      <c r="Q203" s="1459"/>
      <c r="R203" s="1459"/>
      <c r="S203" s="1459"/>
      <c r="T203" s="1459"/>
      <c r="U203" s="1459"/>
      <c r="V203" s="1459"/>
      <c r="W203" s="1459"/>
      <c r="X203" s="1459"/>
      <c r="Y203" s="1459"/>
      <c r="Z203" s="1459"/>
      <c r="AA203" s="1459"/>
      <c r="AB203" s="1459"/>
      <c r="AC203" s="1459"/>
      <c r="AD203" s="1459"/>
      <c r="AE203" s="1459"/>
      <c r="AF203" s="1459"/>
      <c r="AG203" s="1459"/>
      <c r="AH203" s="1459"/>
      <c r="AI203" s="1459"/>
      <c r="AJ203" s="1459"/>
      <c r="AK203" s="1459"/>
      <c r="AL203" s="1459"/>
      <c r="AM203" s="1459"/>
      <c r="AN203" s="1459"/>
      <c r="AO203" s="1459"/>
      <c r="AP203" s="1459"/>
      <c r="AQ203" s="1459"/>
      <c r="AR203" s="1459"/>
      <c r="AS203" s="1459"/>
      <c r="AT203" s="1459"/>
      <c r="AU203" s="1459"/>
      <c r="AV203" s="1459"/>
      <c r="AW203" s="1459"/>
      <c r="AX203" s="1459"/>
      <c r="AY203" s="1459"/>
      <c r="AZ203" s="1459"/>
      <c r="BA203" s="1459"/>
      <c r="BB203" s="1459"/>
      <c r="BC203" s="1459"/>
      <c r="BD203" s="1459"/>
      <c r="BE203" s="1459"/>
      <c r="BF203" s="1459"/>
      <c r="BG203" s="1459"/>
      <c r="BH203" s="1459"/>
      <c r="BI203" s="1459"/>
      <c r="BJ203" s="1459"/>
      <c r="BK203" s="1459"/>
      <c r="BL203" s="1459"/>
    </row>
    <row r="204" spans="1:64">
      <c r="A204" s="981" t="s">
        <v>2184</v>
      </c>
      <c r="B204" s="1261">
        <f>IF(AND(C$63=0,C$54&lt;=100),0,IF(AND(C$63=0,C$54&lt;=1000),C$54-100,IF(AND(C$63=0,C$54&gt;1000),1000-100,IF(AND(C$63&gt;0,C$54+C$63&lt;=100),0,IF(AND(C$63&gt;0,C$63+C$54&lt;=1000),C$63+C$54-100,IF(AND(C$63&gt;0,C$63+C$54&gt;1000),1000-100))))))</f>
        <v>0</v>
      </c>
      <c r="C204" s="981" t="s">
        <v>2185</v>
      </c>
      <c r="D204" s="637">
        <f>B204*20/100</f>
        <v>0</v>
      </c>
      <c r="E204" s="1459"/>
      <c r="G204" s="1259" t="s">
        <v>142</v>
      </c>
      <c r="H204" s="981"/>
      <c r="I204" s="981"/>
      <c r="J204" s="1459"/>
      <c r="K204" s="1459"/>
      <c r="L204" s="1459"/>
      <c r="M204" s="1459"/>
      <c r="N204" s="1459"/>
      <c r="O204" s="1459"/>
      <c r="P204" s="1459"/>
      <c r="Q204" s="1459"/>
      <c r="R204" s="1459"/>
      <c r="S204" s="1459"/>
      <c r="T204" s="1459"/>
      <c r="U204" s="1459"/>
      <c r="V204" s="1459"/>
      <c r="W204" s="1459"/>
      <c r="X204" s="1459"/>
      <c r="Y204" s="1459"/>
      <c r="Z204" s="1459"/>
      <c r="AA204" s="1459"/>
      <c r="AB204" s="1459"/>
      <c r="AC204" s="1459"/>
      <c r="AD204" s="1459"/>
      <c r="AE204" s="1459"/>
      <c r="AF204" s="1459"/>
      <c r="AG204" s="1459"/>
      <c r="AH204" s="1459"/>
      <c r="AI204" s="1459"/>
      <c r="AJ204" s="1459"/>
      <c r="AK204" s="1459"/>
      <c r="AL204" s="1459"/>
      <c r="AM204" s="1459"/>
      <c r="AN204" s="1459"/>
      <c r="AO204" s="1459"/>
      <c r="AP204" s="1459"/>
      <c r="AQ204" s="1459"/>
      <c r="AR204" s="1459"/>
      <c r="AS204" s="1459"/>
      <c r="AT204" s="1459"/>
      <c r="AU204" s="1459"/>
      <c r="AV204" s="1459"/>
      <c r="AW204" s="1459"/>
      <c r="AX204" s="1459"/>
      <c r="AY204" s="1459"/>
      <c r="AZ204" s="1459"/>
      <c r="BA204" s="1459"/>
      <c r="BB204" s="1459"/>
      <c r="BC204" s="1459"/>
      <c r="BD204" s="1459"/>
      <c r="BE204" s="1459"/>
      <c r="BF204" s="1459"/>
      <c r="BG204" s="1459"/>
      <c r="BH204" s="1459"/>
      <c r="BI204" s="1459"/>
      <c r="BJ204" s="1459"/>
      <c r="BK204" s="1459"/>
      <c r="BL204" s="1459"/>
    </row>
    <row r="205" spans="1:64">
      <c r="A205" s="981" t="s">
        <v>2186</v>
      </c>
      <c r="B205" s="637">
        <f>IF(C$54+C$63&lt;1000.01,0,IF(AND(C$54+C$63&gt;1000,C$54+C$63&lt;=1200),C$54+C$63-1000,IF(AND(C$54+C$63&gt;1200,C8="ja",C$54+C$63&lt;=1500),C$54+C$63-1000,IF(AND(C$54+C$63&gt;1200,C8="nein",C$54+C$63&lt;=1500),1200-1000,IF(AND(C$54+C$63&gt;=1500,C8="ja"),1500-1000,IF(AND(C$54+C$63&gt;1500,C8="nein"),1200-1000))))))</f>
        <v>0</v>
      </c>
      <c r="C205" s="981" t="s">
        <v>2187</v>
      </c>
      <c r="D205" s="637">
        <f>B205*10/100</f>
        <v>0</v>
      </c>
      <c r="E205" s="1459"/>
      <c r="G205" s="981" t="s">
        <v>2328</v>
      </c>
      <c r="H205" s="637">
        <f>IF(C$59&lt;C$58,C$58,0)</f>
        <v>0</v>
      </c>
      <c r="I205" s="637"/>
      <c r="J205" s="1459"/>
      <c r="K205" s="1459"/>
      <c r="L205" s="1459"/>
      <c r="M205" s="1459"/>
      <c r="N205" s="1459"/>
      <c r="O205" s="1459"/>
      <c r="P205" s="1459"/>
      <c r="Q205" s="1459"/>
      <c r="R205" s="1459"/>
      <c r="S205" s="1459"/>
      <c r="T205" s="1459"/>
      <c r="U205" s="1459"/>
      <c r="V205" s="1459"/>
      <c r="W205" s="1459"/>
      <c r="X205" s="1459"/>
      <c r="Y205" s="1459"/>
      <c r="Z205" s="1459"/>
      <c r="AA205" s="1459"/>
      <c r="AB205" s="1459"/>
      <c r="AC205" s="1459"/>
      <c r="AD205" s="1459"/>
      <c r="AE205" s="1459"/>
      <c r="AF205" s="1459"/>
      <c r="AG205" s="1459"/>
      <c r="AH205" s="1459"/>
      <c r="AI205" s="1459"/>
      <c r="AJ205" s="1459"/>
      <c r="AK205" s="1459"/>
      <c r="AL205" s="1459"/>
      <c r="AM205" s="1459"/>
      <c r="AN205" s="1459"/>
      <c r="AO205" s="1459"/>
      <c r="AP205" s="1459"/>
      <c r="AQ205" s="1459"/>
      <c r="AR205" s="1459"/>
      <c r="AS205" s="1459"/>
      <c r="AT205" s="1459"/>
      <c r="AU205" s="1459"/>
      <c r="AV205" s="1459"/>
      <c r="AW205" s="1459"/>
      <c r="AX205" s="1459"/>
      <c r="AY205" s="1459"/>
      <c r="AZ205" s="1459"/>
      <c r="BA205" s="1459"/>
      <c r="BB205" s="1459"/>
      <c r="BC205" s="1459"/>
      <c r="BD205" s="1459"/>
      <c r="BE205" s="1459"/>
      <c r="BF205" s="1459"/>
      <c r="BG205" s="1459"/>
      <c r="BH205" s="1459"/>
      <c r="BI205" s="1459"/>
      <c r="BJ205" s="1459"/>
      <c r="BK205" s="1459"/>
      <c r="BL205" s="1459"/>
    </row>
    <row r="206" spans="1:64">
      <c r="A206" s="1262" t="s">
        <v>141</v>
      </c>
      <c r="B206" s="981"/>
      <c r="C206" s="981"/>
      <c r="D206" s="1263">
        <f>SUM(D204:D205)</f>
        <v>0</v>
      </c>
      <c r="E206" s="1459"/>
      <c r="G206" s="981" t="s">
        <v>2329</v>
      </c>
      <c r="H206" s="1614">
        <f>IF(C$59&lt;C$58,E252,0)</f>
        <v>0</v>
      </c>
      <c r="I206" s="637"/>
      <c r="J206" s="1459"/>
      <c r="K206" s="1459"/>
      <c r="L206" s="1459"/>
      <c r="M206" s="1459"/>
      <c r="N206" s="1459"/>
      <c r="O206" s="1459"/>
      <c r="P206" s="1459"/>
      <c r="Q206" s="1459"/>
      <c r="R206" s="1459"/>
      <c r="S206" s="1459"/>
      <c r="T206" s="1459"/>
      <c r="U206" s="1459"/>
      <c r="V206" s="1459"/>
      <c r="W206" s="1459"/>
      <c r="X206" s="1459"/>
      <c r="Y206" s="1459"/>
      <c r="Z206" s="1459"/>
      <c r="AA206" s="1459"/>
      <c r="AB206" s="1459"/>
      <c r="AC206" s="1459"/>
      <c r="AD206" s="1459"/>
      <c r="AE206" s="1459"/>
      <c r="AF206" s="1459"/>
      <c r="AG206" s="1459"/>
      <c r="AH206" s="1459"/>
      <c r="AI206" s="1459"/>
      <c r="AJ206" s="1459"/>
      <c r="AK206" s="1459"/>
      <c r="AL206" s="1459"/>
      <c r="AM206" s="1459"/>
      <c r="AN206" s="1459"/>
      <c r="AO206" s="1459"/>
      <c r="AP206" s="1459"/>
      <c r="AQ206" s="1459"/>
      <c r="AR206" s="1459"/>
      <c r="AS206" s="1459"/>
      <c r="AT206" s="1459"/>
      <c r="AU206" s="1459"/>
      <c r="AV206" s="1459"/>
      <c r="AW206" s="1459"/>
      <c r="AX206" s="1459"/>
      <c r="AY206" s="1459"/>
      <c r="AZ206" s="1459"/>
      <c r="BA206" s="1459"/>
      <c r="BB206" s="1459"/>
      <c r="BC206" s="1459"/>
      <c r="BD206" s="1459"/>
      <c r="BE206" s="1459"/>
      <c r="BF206" s="1459"/>
      <c r="BG206" s="1459"/>
      <c r="BH206" s="1459"/>
      <c r="BI206" s="1459"/>
      <c r="BJ206" s="1459"/>
      <c r="BK206" s="1459"/>
      <c r="BL206" s="1459"/>
    </row>
    <row r="207" spans="1:64">
      <c r="A207" s="981"/>
      <c r="B207" s="981"/>
      <c r="C207" s="981"/>
      <c r="D207" s="981"/>
      <c r="E207" s="1459"/>
      <c r="G207" s="981"/>
      <c r="H207" s="637">
        <f>H205-H206</f>
        <v>0</v>
      </c>
      <c r="I207" s="637"/>
      <c r="J207" s="1459"/>
      <c r="K207" s="1459"/>
      <c r="L207" s="1459"/>
      <c r="M207" s="1459"/>
      <c r="N207" s="1459"/>
      <c r="O207" s="1459"/>
      <c r="P207" s="1459"/>
      <c r="Q207" s="1459"/>
      <c r="R207" s="1459"/>
      <c r="S207" s="1459"/>
      <c r="T207" s="1459"/>
      <c r="U207" s="1459"/>
      <c r="V207" s="1459"/>
      <c r="W207" s="1459"/>
      <c r="X207" s="1459"/>
      <c r="Y207" s="1459"/>
      <c r="Z207" s="1459"/>
      <c r="AA207" s="1459"/>
      <c r="AB207" s="1459"/>
      <c r="AC207" s="1459"/>
      <c r="AD207" s="1459"/>
      <c r="AE207" s="1459"/>
      <c r="AF207" s="1459"/>
      <c r="AG207" s="1459"/>
      <c r="AH207" s="1459"/>
      <c r="AI207" s="1459"/>
      <c r="AJ207" s="1459"/>
      <c r="AK207" s="1459"/>
      <c r="AL207" s="1459"/>
      <c r="AM207" s="1459"/>
      <c r="AN207" s="1459"/>
      <c r="AO207" s="1459"/>
      <c r="AP207" s="1459"/>
      <c r="AQ207" s="1459"/>
      <c r="AR207" s="1459"/>
      <c r="AS207" s="1459"/>
      <c r="AT207" s="1459"/>
      <c r="AU207" s="1459"/>
      <c r="AV207" s="1459"/>
      <c r="AW207" s="1459"/>
      <c r="AX207" s="1459"/>
      <c r="AY207" s="1459"/>
      <c r="AZ207" s="1459"/>
      <c r="BA207" s="1459"/>
      <c r="BB207" s="1459"/>
      <c r="BC207" s="1459"/>
      <c r="BD207" s="1459"/>
      <c r="BE207" s="1459"/>
      <c r="BF207" s="1459"/>
      <c r="BG207" s="1459"/>
      <c r="BH207" s="1459"/>
      <c r="BI207" s="1459"/>
      <c r="BJ207" s="1459"/>
      <c r="BK207" s="1459"/>
      <c r="BL207" s="1459"/>
    </row>
    <row r="208" spans="1:64">
      <c r="A208" s="1258" t="s">
        <v>2188</v>
      </c>
      <c r="B208" s="1259"/>
      <c r="C208" s="981"/>
      <c r="D208" s="981"/>
      <c r="E208" s="1459"/>
      <c r="G208" s="981" t="s">
        <v>2330</v>
      </c>
      <c r="H208" s="1615">
        <f>H207/6</f>
        <v>0</v>
      </c>
      <c r="I208" s="637"/>
      <c r="J208" s="1459"/>
      <c r="K208" s="1459"/>
      <c r="L208" s="1459"/>
      <c r="M208" s="1459"/>
      <c r="N208" s="1459"/>
      <c r="O208" s="1459"/>
      <c r="P208" s="1459"/>
      <c r="Q208" s="1459"/>
      <c r="R208" s="1459"/>
      <c r="S208" s="1459"/>
      <c r="T208" s="1459"/>
      <c r="U208" s="1459"/>
      <c r="V208" s="1459"/>
      <c r="W208" s="1459"/>
      <c r="X208" s="1459"/>
      <c r="Y208" s="1459"/>
      <c r="Z208" s="1459"/>
      <c r="AA208" s="1459"/>
      <c r="AB208" s="1459"/>
      <c r="AC208" s="1459"/>
      <c r="AD208" s="1459"/>
      <c r="AE208" s="1459"/>
      <c r="AF208" s="1459"/>
      <c r="AG208" s="1459"/>
      <c r="AH208" s="1459"/>
      <c r="AI208" s="1459"/>
      <c r="AJ208" s="1459"/>
      <c r="AK208" s="1459"/>
      <c r="AL208" s="1459"/>
      <c r="AM208" s="1459"/>
      <c r="AN208" s="1459"/>
      <c r="AO208" s="1459"/>
      <c r="AP208" s="1459"/>
      <c r="AQ208" s="1459"/>
      <c r="AR208" s="1459"/>
      <c r="AS208" s="1459"/>
      <c r="AT208" s="1459"/>
      <c r="AU208" s="1459"/>
      <c r="AV208" s="1459"/>
      <c r="AW208" s="1459"/>
      <c r="AX208" s="1459"/>
      <c r="AY208" s="1459"/>
      <c r="AZ208" s="1459"/>
      <c r="BA208" s="1459"/>
      <c r="BB208" s="1459"/>
      <c r="BC208" s="1459"/>
      <c r="BD208" s="1459"/>
      <c r="BE208" s="1459"/>
      <c r="BF208" s="1459"/>
      <c r="BG208" s="1459"/>
      <c r="BH208" s="1459"/>
      <c r="BI208" s="1459"/>
      <c r="BJ208" s="1459"/>
      <c r="BK208" s="1459"/>
      <c r="BL208" s="1459"/>
    </row>
    <row r="209" spans="1:64">
      <c r="A209" s="981" t="s">
        <v>2184</v>
      </c>
      <c r="B209" s="637">
        <f>IF(AND(D$63=0,D$54&lt;=100),0,IF(AND(D$63=0,D$54&lt;=1000),D$54-100,IF(AND(D$63=0,D$54&gt;1000),1000-100,IF(AND(D$63&gt;0,D$54+D$63&lt;=100),0,IF(AND(D$63&gt;0,D$63+D$54&lt;=1000),D$63+D$54-100,IF(AND(D$63&gt;0,D$63+D$54&gt;1000),1000-100))))))</f>
        <v>0</v>
      </c>
      <c r="C209" s="981" t="s">
        <v>2185</v>
      </c>
      <c r="D209" s="637">
        <f>B209*20/100</f>
        <v>0</v>
      </c>
      <c r="E209" s="1459"/>
      <c r="I209" s="981"/>
      <c r="J209" s="1459"/>
      <c r="K209" s="1459"/>
      <c r="L209" s="1459"/>
      <c r="M209" s="1459"/>
      <c r="N209" s="1459"/>
      <c r="O209" s="1459"/>
      <c r="P209" s="1459"/>
      <c r="Q209" s="1459"/>
      <c r="R209" s="1459"/>
      <c r="S209" s="1459"/>
      <c r="T209" s="1459"/>
      <c r="U209" s="1459"/>
      <c r="V209" s="1459"/>
      <c r="W209" s="1459"/>
      <c r="X209" s="1459"/>
      <c r="Y209" s="1459"/>
      <c r="Z209" s="1459"/>
      <c r="AA209" s="1459"/>
      <c r="AB209" s="1459"/>
      <c r="AC209" s="1459"/>
      <c r="AD209" s="1459"/>
      <c r="AE209" s="1459"/>
      <c r="AF209" s="1459"/>
      <c r="AG209" s="1459"/>
      <c r="AH209" s="1459"/>
      <c r="AI209" s="1459"/>
      <c r="AJ209" s="1459"/>
      <c r="AK209" s="1459"/>
      <c r="AL209" s="1459"/>
      <c r="AM209" s="1459"/>
      <c r="AN209" s="1459"/>
      <c r="AO209" s="1459"/>
      <c r="AP209" s="1459"/>
      <c r="AQ209" s="1459"/>
      <c r="AR209" s="1459"/>
      <c r="AS209" s="1459"/>
      <c r="AT209" s="1459"/>
      <c r="AU209" s="1459"/>
      <c r="AV209" s="1459"/>
      <c r="AW209" s="1459"/>
      <c r="AX209" s="1459"/>
      <c r="AY209" s="1459"/>
      <c r="AZ209" s="1459"/>
      <c r="BA209" s="1459"/>
      <c r="BB209" s="1459"/>
      <c r="BC209" s="1459"/>
      <c r="BD209" s="1459"/>
      <c r="BE209" s="1459"/>
      <c r="BF209" s="1459"/>
      <c r="BG209" s="1459"/>
      <c r="BH209" s="1459"/>
      <c r="BI209" s="1459"/>
      <c r="BJ209" s="1459"/>
      <c r="BK209" s="1459"/>
      <c r="BL209" s="1459"/>
    </row>
    <row r="210" spans="1:64">
      <c r="A210" s="981" t="s">
        <v>2186</v>
      </c>
      <c r="B210" s="637">
        <f>IF(D$54+D$63&lt;1000.01,0,IF(AND(D$54+D$63&gt;1000,D$54+D$63&lt;=1200),D$54+D$63-1000,IF(AND(D$54+D$63&gt;1200,D$8="ja",D$54+D$63&lt;=1500),D$54+D$63-1000,IF(AND(D$54+D$63&gt;1200,D$8="nein",D$54+D$63&lt;=1500),1200-1000,IF(AND(D$54+D$63&gt;=1500,D$8="ja"),1500-1000,IF(AND(D$54+D$63&gt;1500,D$8="nein"),1200-1000))))))</f>
        <v>0</v>
      </c>
      <c r="C210" s="981" t="s">
        <v>2187</v>
      </c>
      <c r="D210" s="637">
        <f>B210*10/100</f>
        <v>0</v>
      </c>
      <c r="E210" s="1459"/>
      <c r="G210" s="1259" t="s">
        <v>143</v>
      </c>
      <c r="H210" s="981"/>
      <c r="I210" s="637"/>
      <c r="J210" s="1459"/>
      <c r="K210" s="1459"/>
      <c r="L210" s="1459"/>
      <c r="M210" s="1459"/>
      <c r="N210" s="1459"/>
      <c r="O210" s="1459"/>
      <c r="P210" s="1459"/>
      <c r="Q210" s="1459"/>
      <c r="R210" s="1459"/>
      <c r="S210" s="1459"/>
      <c r="T210" s="1459"/>
      <c r="U210" s="1459"/>
      <c r="V210" s="1459"/>
      <c r="W210" s="1459"/>
      <c r="X210" s="1459"/>
      <c r="Y210" s="1459"/>
      <c r="Z210" s="1459"/>
      <c r="AA210" s="1459"/>
      <c r="AB210" s="1459"/>
      <c r="AC210" s="1459"/>
      <c r="AD210" s="1459"/>
      <c r="AE210" s="1459"/>
      <c r="AF210" s="1459"/>
      <c r="AG210" s="1459"/>
      <c r="AH210" s="1459"/>
      <c r="AI210" s="1459"/>
      <c r="AJ210" s="1459"/>
      <c r="AK210" s="1459"/>
      <c r="AL210" s="1459"/>
      <c r="AM210" s="1459"/>
      <c r="AN210" s="1459"/>
      <c r="AO210" s="1459"/>
      <c r="AP210" s="1459"/>
      <c r="AQ210" s="1459"/>
      <c r="AR210" s="1459"/>
      <c r="AS210" s="1459"/>
      <c r="AT210" s="1459"/>
      <c r="AU210" s="1459"/>
      <c r="AV210" s="1459"/>
      <c r="AW210" s="1459"/>
      <c r="AX210" s="1459"/>
      <c r="AY210" s="1459"/>
      <c r="AZ210" s="1459"/>
      <c r="BA210" s="1459"/>
      <c r="BB210" s="1459"/>
      <c r="BC210" s="1459"/>
      <c r="BD210" s="1459"/>
      <c r="BE210" s="1459"/>
      <c r="BF210" s="1459"/>
      <c r="BG210" s="1459"/>
      <c r="BH210" s="1459"/>
      <c r="BI210" s="1459"/>
      <c r="BJ210" s="1459"/>
      <c r="BK210" s="1459"/>
      <c r="BL210" s="1459"/>
    </row>
    <row r="211" spans="1:64">
      <c r="A211" s="1262" t="s">
        <v>141</v>
      </c>
      <c r="B211" s="981"/>
      <c r="C211" s="981"/>
      <c r="D211" s="1263">
        <f>SUM(D209:D210)</f>
        <v>0</v>
      </c>
      <c r="E211" s="1459"/>
      <c r="G211" s="981" t="s">
        <v>2328</v>
      </c>
      <c r="H211" s="637">
        <f>IF(D$59&lt;D$58,D$58,0)</f>
        <v>0</v>
      </c>
      <c r="I211" s="637"/>
      <c r="J211" s="1459"/>
      <c r="K211" s="1459"/>
      <c r="L211" s="1459"/>
      <c r="M211" s="1459"/>
      <c r="N211" s="1459"/>
      <c r="O211" s="1459"/>
      <c r="P211" s="1459"/>
      <c r="Q211" s="1459"/>
      <c r="R211" s="1459"/>
      <c r="S211" s="1459"/>
      <c r="T211" s="1459"/>
      <c r="U211" s="1459"/>
      <c r="V211" s="1459"/>
      <c r="W211" s="1459"/>
      <c r="X211" s="1459"/>
      <c r="Y211" s="1459"/>
      <c r="Z211" s="1459"/>
      <c r="AA211" s="1459"/>
      <c r="AB211" s="1459"/>
      <c r="AC211" s="1459"/>
      <c r="AD211" s="1459"/>
      <c r="AE211" s="1459"/>
      <c r="AF211" s="1459"/>
      <c r="AG211" s="1459"/>
      <c r="AH211" s="1459"/>
      <c r="AI211" s="1459"/>
      <c r="AJ211" s="1459"/>
      <c r="AK211" s="1459"/>
      <c r="AL211" s="1459"/>
      <c r="AM211" s="1459"/>
      <c r="AN211" s="1459"/>
      <c r="AO211" s="1459"/>
      <c r="AP211" s="1459"/>
      <c r="AQ211" s="1459"/>
      <c r="AR211" s="1459"/>
      <c r="AS211" s="1459"/>
      <c r="AT211" s="1459"/>
      <c r="AU211" s="1459"/>
      <c r="AV211" s="1459"/>
      <c r="AW211" s="1459"/>
      <c r="AX211" s="1459"/>
      <c r="AY211" s="1459"/>
      <c r="AZ211" s="1459"/>
      <c r="BA211" s="1459"/>
      <c r="BB211" s="1459"/>
      <c r="BC211" s="1459"/>
      <c r="BD211" s="1459"/>
      <c r="BE211" s="1459"/>
      <c r="BF211" s="1459"/>
      <c r="BG211" s="1459"/>
      <c r="BH211" s="1459"/>
      <c r="BI211" s="1459"/>
      <c r="BJ211" s="1459"/>
      <c r="BK211" s="1459"/>
      <c r="BL211" s="1459"/>
    </row>
    <row r="212" spans="1:64">
      <c r="A212" s="981"/>
      <c r="B212" s="981"/>
      <c r="C212" s="981"/>
      <c r="D212" s="981"/>
      <c r="E212" s="1459"/>
      <c r="G212" s="981" t="s">
        <v>2329</v>
      </c>
      <c r="H212" s="1614">
        <f>IF(D$59&lt;D$58,E257,0)</f>
        <v>0</v>
      </c>
      <c r="I212" s="637"/>
      <c r="J212" s="1459"/>
      <c r="K212" s="1459"/>
      <c r="L212" s="1459"/>
      <c r="M212" s="1459"/>
      <c r="N212" s="1459"/>
      <c r="O212" s="1459"/>
      <c r="P212" s="1459"/>
      <c r="Q212" s="1459"/>
      <c r="R212" s="1459"/>
      <c r="S212" s="1459"/>
      <c r="T212" s="1459"/>
      <c r="U212" s="1459"/>
      <c r="V212" s="1459"/>
      <c r="W212" s="1459"/>
      <c r="X212" s="1459"/>
      <c r="Y212" s="1459"/>
      <c r="Z212" s="1459"/>
      <c r="AA212" s="1459"/>
      <c r="AB212" s="1459"/>
      <c r="AC212" s="1459"/>
      <c r="AD212" s="1459"/>
      <c r="AE212" s="1459"/>
      <c r="AF212" s="1459"/>
      <c r="AG212" s="1459"/>
      <c r="AH212" s="1459"/>
      <c r="AI212" s="1459"/>
      <c r="AJ212" s="1459"/>
      <c r="AK212" s="1459"/>
      <c r="AL212" s="1459"/>
      <c r="AM212" s="1459"/>
      <c r="AN212" s="1459"/>
      <c r="AO212" s="1459"/>
      <c r="AP212" s="1459"/>
      <c r="AQ212" s="1459"/>
      <c r="AR212" s="1459"/>
      <c r="AS212" s="1459"/>
      <c r="AT212" s="1459"/>
      <c r="AU212" s="1459"/>
      <c r="AV212" s="1459"/>
      <c r="AW212" s="1459"/>
      <c r="AX212" s="1459"/>
      <c r="AY212" s="1459"/>
      <c r="AZ212" s="1459"/>
      <c r="BA212" s="1459"/>
      <c r="BB212" s="1459"/>
      <c r="BC212" s="1459"/>
      <c r="BD212" s="1459"/>
      <c r="BE212" s="1459"/>
      <c r="BF212" s="1459"/>
      <c r="BG212" s="1459"/>
      <c r="BH212" s="1459"/>
      <c r="BI212" s="1459"/>
      <c r="BJ212" s="1459"/>
      <c r="BK212" s="1459"/>
      <c r="BL212" s="1459"/>
    </row>
    <row r="213" spans="1:64">
      <c r="A213" s="1258" t="s">
        <v>2189</v>
      </c>
      <c r="B213" s="1259"/>
      <c r="C213" s="981"/>
      <c r="D213" s="981"/>
      <c r="E213" s="1459"/>
      <c r="G213" s="981"/>
      <c r="H213" s="637">
        <f>H211-H212</f>
        <v>0</v>
      </c>
      <c r="I213" s="637"/>
      <c r="J213" s="1459"/>
      <c r="K213" s="1459"/>
      <c r="L213" s="1459"/>
      <c r="M213" s="1459"/>
      <c r="N213" s="1459"/>
      <c r="O213" s="1459"/>
      <c r="P213" s="1459"/>
      <c r="Q213" s="1459"/>
      <c r="R213" s="1459"/>
      <c r="S213" s="1459"/>
      <c r="T213" s="1459"/>
      <c r="U213" s="1459"/>
      <c r="V213" s="1459"/>
      <c r="W213" s="1459"/>
      <c r="X213" s="1459"/>
      <c r="Y213" s="1459"/>
      <c r="Z213" s="1459"/>
      <c r="AA213" s="1459"/>
      <c r="AB213" s="1459"/>
      <c r="AC213" s="1459"/>
      <c r="AD213" s="1459"/>
      <c r="AE213" s="1459"/>
      <c r="AF213" s="1459"/>
      <c r="AG213" s="1459"/>
      <c r="AH213" s="1459"/>
      <c r="AI213" s="1459"/>
      <c r="AJ213" s="1459"/>
      <c r="AK213" s="1459"/>
      <c r="AL213" s="1459"/>
      <c r="AM213" s="1459"/>
      <c r="AN213" s="1459"/>
      <c r="AO213" s="1459"/>
      <c r="AP213" s="1459"/>
      <c r="AQ213" s="1459"/>
      <c r="AR213" s="1459"/>
      <c r="AS213" s="1459"/>
      <c r="AT213" s="1459"/>
      <c r="AU213" s="1459"/>
      <c r="AV213" s="1459"/>
      <c r="AW213" s="1459"/>
      <c r="AX213" s="1459"/>
      <c r="AY213" s="1459"/>
      <c r="AZ213" s="1459"/>
      <c r="BA213" s="1459"/>
      <c r="BB213" s="1459"/>
      <c r="BC213" s="1459"/>
      <c r="BD213" s="1459"/>
      <c r="BE213" s="1459"/>
      <c r="BF213" s="1459"/>
      <c r="BG213" s="1459"/>
      <c r="BH213" s="1459"/>
      <c r="BI213" s="1459"/>
      <c r="BJ213" s="1459"/>
      <c r="BK213" s="1459"/>
      <c r="BL213" s="1459"/>
    </row>
    <row r="214" spans="1:64">
      <c r="A214" s="981" t="s">
        <v>2184</v>
      </c>
      <c r="B214" s="637">
        <f>IF(AND(E$63=0,E$54&lt;=100),0,IF(AND(E$63=0,E$54&lt;=1000),E$54-100,IF(AND(E$63=0,E$54&gt;1000),1000-100,IF(AND(E$63&gt;0,E$54+E$63&lt;=100),0,IF(AND(E$63&gt;0,E$63+E$54&lt;=1000),E$63+E$54-100,IF(AND(E$63&gt;0,E$63+E$54&gt;1000),1000-100))))))</f>
        <v>0</v>
      </c>
      <c r="C214" s="981" t="s">
        <v>2185</v>
      </c>
      <c r="D214" s="637">
        <f>B214*20/100</f>
        <v>0</v>
      </c>
      <c r="E214" s="1459"/>
      <c r="G214" s="981" t="s">
        <v>2330</v>
      </c>
      <c r="H214" s="1615">
        <f>H213/6</f>
        <v>0</v>
      </c>
      <c r="I214" s="637"/>
      <c r="J214" s="1459"/>
      <c r="K214" s="1459"/>
      <c r="L214" s="1459"/>
      <c r="M214" s="1459"/>
      <c r="N214" s="1459"/>
      <c r="O214" s="1459"/>
      <c r="P214" s="1459"/>
      <c r="Q214" s="1459"/>
      <c r="R214" s="1459"/>
      <c r="S214" s="1459"/>
      <c r="T214" s="1459"/>
      <c r="U214" s="1459"/>
      <c r="V214" s="1459"/>
      <c r="W214" s="1459"/>
      <c r="X214" s="1459"/>
      <c r="Y214" s="1459"/>
      <c r="Z214" s="1459"/>
      <c r="AA214" s="1459"/>
      <c r="AB214" s="1459"/>
      <c r="AC214" s="1459"/>
      <c r="AD214" s="1459"/>
      <c r="AE214" s="1459"/>
      <c r="AF214" s="1459"/>
      <c r="AG214" s="1459"/>
      <c r="AH214" s="1459"/>
      <c r="AI214" s="1459"/>
      <c r="AJ214" s="1459"/>
      <c r="AK214" s="1459"/>
      <c r="AL214" s="1459"/>
      <c r="AM214" s="1459"/>
      <c r="AN214" s="1459"/>
      <c r="AO214" s="1459"/>
      <c r="AP214" s="1459"/>
      <c r="AQ214" s="1459"/>
      <c r="AR214" s="1459"/>
      <c r="AS214" s="1459"/>
      <c r="AT214" s="1459"/>
      <c r="AU214" s="1459"/>
      <c r="AV214" s="1459"/>
      <c r="AW214" s="1459"/>
      <c r="AX214" s="1459"/>
      <c r="AY214" s="1459"/>
      <c r="AZ214" s="1459"/>
      <c r="BA214" s="1459"/>
      <c r="BB214" s="1459"/>
      <c r="BC214" s="1459"/>
      <c r="BD214" s="1459"/>
      <c r="BE214" s="1459"/>
      <c r="BF214" s="1459"/>
      <c r="BG214" s="1459"/>
      <c r="BH214" s="1459"/>
      <c r="BI214" s="1459"/>
      <c r="BJ214" s="1459"/>
      <c r="BK214" s="1459"/>
      <c r="BL214" s="1459"/>
    </row>
    <row r="215" spans="1:64">
      <c r="A215" s="981" t="s">
        <v>2186</v>
      </c>
      <c r="B215" s="637">
        <f>IF(E$54+E$63&lt;1000.01,0,IF(AND(E$54+E$63&gt;1000,E$54+E$63&lt;=1200),E$54+E$63-1000,IF(E$54+E$63&gt;1200,1200-1000,)))</f>
        <v>0</v>
      </c>
      <c r="C215" s="981" t="s">
        <v>2187</v>
      </c>
      <c r="D215" s="637">
        <f>B215*10/100</f>
        <v>0</v>
      </c>
      <c r="E215" s="1459"/>
      <c r="J215" s="1459"/>
      <c r="K215" s="1459"/>
      <c r="L215" s="1459"/>
      <c r="M215" s="1459"/>
      <c r="N215" s="1459"/>
      <c r="O215" s="1459"/>
      <c r="P215" s="1459"/>
      <c r="Q215" s="1459"/>
      <c r="R215" s="1459"/>
      <c r="S215" s="1459"/>
      <c r="T215" s="1459"/>
      <c r="U215" s="1459"/>
      <c r="V215" s="1459"/>
      <c r="W215" s="1459"/>
      <c r="X215" s="1459"/>
      <c r="Y215" s="1459"/>
      <c r="Z215" s="1459"/>
      <c r="AA215" s="1459"/>
      <c r="AB215" s="1459"/>
      <c r="AC215" s="1459"/>
      <c r="AD215" s="1459"/>
      <c r="AE215" s="1459"/>
      <c r="AF215" s="1459"/>
      <c r="AG215" s="1459"/>
      <c r="AH215" s="1459"/>
      <c r="AI215" s="1459"/>
      <c r="AJ215" s="1459"/>
      <c r="AK215" s="1459"/>
      <c r="AL215" s="1459"/>
      <c r="AM215" s="1459"/>
      <c r="AN215" s="1459"/>
      <c r="AO215" s="1459"/>
      <c r="AP215" s="1459"/>
      <c r="AQ215" s="1459"/>
      <c r="AR215" s="1459"/>
      <c r="AS215" s="1459"/>
      <c r="AT215" s="1459"/>
      <c r="AU215" s="1459"/>
      <c r="AV215" s="1459"/>
      <c r="AW215" s="1459"/>
      <c r="AX215" s="1459"/>
      <c r="AY215" s="1459"/>
      <c r="AZ215" s="1459"/>
      <c r="BA215" s="1459"/>
      <c r="BB215" s="1459"/>
      <c r="BC215" s="1459"/>
      <c r="BD215" s="1459"/>
      <c r="BE215" s="1459"/>
      <c r="BF215" s="1459"/>
      <c r="BG215" s="1459"/>
      <c r="BH215" s="1459"/>
      <c r="BI215" s="1459"/>
      <c r="BJ215" s="1459"/>
      <c r="BK215" s="1459"/>
      <c r="BL215" s="1459"/>
    </row>
    <row r="216" spans="1:64">
      <c r="A216" s="1262" t="s">
        <v>141</v>
      </c>
      <c r="B216" s="981"/>
      <c r="C216" s="981"/>
      <c r="D216" s="1263">
        <f>SUM(D214:D215)</f>
        <v>0</v>
      </c>
      <c r="E216" s="1459"/>
      <c r="G216" s="1259" t="s">
        <v>144</v>
      </c>
      <c r="H216" s="981"/>
      <c r="J216" s="1459"/>
      <c r="K216" s="1459"/>
      <c r="L216" s="1459"/>
      <c r="M216" s="1459"/>
      <c r="N216" s="1459"/>
      <c r="O216" s="1459"/>
      <c r="P216" s="1459"/>
      <c r="Q216" s="1459"/>
      <c r="R216" s="1459"/>
      <c r="S216" s="1459"/>
      <c r="T216" s="1459"/>
      <c r="U216" s="1459"/>
      <c r="V216" s="1459"/>
      <c r="W216" s="1459"/>
      <c r="X216" s="1459"/>
      <c r="Y216" s="1459"/>
      <c r="Z216" s="1459"/>
      <c r="AA216" s="1459"/>
      <c r="AB216" s="1459"/>
      <c r="AC216" s="1459"/>
      <c r="AD216" s="1459"/>
      <c r="AE216" s="1459"/>
      <c r="AF216" s="1459"/>
      <c r="AG216" s="1459"/>
      <c r="AH216" s="1459"/>
      <c r="AI216" s="1459"/>
      <c r="AJ216" s="1459"/>
      <c r="AK216" s="1459"/>
      <c r="AL216" s="1459"/>
      <c r="AM216" s="1459"/>
      <c r="AN216" s="1459"/>
      <c r="AO216" s="1459"/>
      <c r="AP216" s="1459"/>
      <c r="AQ216" s="1459"/>
      <c r="AR216" s="1459"/>
      <c r="AS216" s="1459"/>
      <c r="AT216" s="1459"/>
      <c r="AU216" s="1459"/>
      <c r="AV216" s="1459"/>
      <c r="AW216" s="1459"/>
      <c r="AX216" s="1459"/>
      <c r="AY216" s="1459"/>
      <c r="AZ216" s="1459"/>
      <c r="BA216" s="1459"/>
      <c r="BB216" s="1459"/>
      <c r="BC216" s="1459"/>
      <c r="BD216" s="1459"/>
      <c r="BE216" s="1459"/>
      <c r="BF216" s="1459"/>
      <c r="BG216" s="1459"/>
      <c r="BH216" s="1459"/>
      <c r="BI216" s="1459"/>
      <c r="BJ216" s="1459"/>
      <c r="BK216" s="1459"/>
      <c r="BL216" s="1459"/>
    </row>
    <row r="217" spans="1:64">
      <c r="A217" s="981"/>
      <c r="B217" s="981"/>
      <c r="C217" s="981"/>
      <c r="D217" s="981"/>
      <c r="E217" s="1459"/>
      <c r="G217" s="981" t="s">
        <v>2328</v>
      </c>
      <c r="H217" s="637">
        <f>IF(E$59&lt;E$58,E$58,0)</f>
        <v>0</v>
      </c>
      <c r="J217" s="1459"/>
      <c r="K217" s="1459"/>
      <c r="L217" s="1459"/>
      <c r="M217" s="1459"/>
      <c r="N217" s="1459"/>
      <c r="O217" s="1459"/>
      <c r="P217" s="1459"/>
      <c r="Q217" s="1459"/>
      <c r="R217" s="1459"/>
      <c r="S217" s="1459"/>
      <c r="T217" s="1459"/>
      <c r="U217" s="1459"/>
      <c r="V217" s="1459"/>
      <c r="W217" s="1459"/>
      <c r="X217" s="1459"/>
      <c r="Y217" s="1459"/>
      <c r="Z217" s="1459"/>
      <c r="AA217" s="1459"/>
      <c r="AB217" s="1459"/>
      <c r="AC217" s="1459"/>
      <c r="AD217" s="1459"/>
      <c r="AE217" s="1459"/>
      <c r="AF217" s="1459"/>
      <c r="AG217" s="1459"/>
      <c r="AH217" s="1459"/>
      <c r="AI217" s="1459"/>
      <c r="AJ217" s="1459"/>
      <c r="AK217" s="1459"/>
      <c r="AL217" s="1459"/>
      <c r="AM217" s="1459"/>
      <c r="AN217" s="1459"/>
      <c r="AO217" s="1459"/>
      <c r="AP217" s="1459"/>
      <c r="AQ217" s="1459"/>
      <c r="AR217" s="1459"/>
      <c r="AS217" s="1459"/>
      <c r="AT217" s="1459"/>
      <c r="AU217" s="1459"/>
      <c r="AV217" s="1459"/>
      <c r="AW217" s="1459"/>
      <c r="AX217" s="1459"/>
      <c r="AY217" s="1459"/>
      <c r="AZ217" s="1459"/>
      <c r="BA217" s="1459"/>
      <c r="BB217" s="1459"/>
      <c r="BC217" s="1459"/>
      <c r="BD217" s="1459"/>
      <c r="BE217" s="1459"/>
      <c r="BF217" s="1459"/>
      <c r="BG217" s="1459"/>
      <c r="BH217" s="1459"/>
      <c r="BI217" s="1459"/>
      <c r="BJ217" s="1459"/>
      <c r="BK217" s="1459"/>
      <c r="BL217" s="1459"/>
    </row>
    <row r="218" spans="1:64">
      <c r="A218" s="1258" t="s">
        <v>2190</v>
      </c>
      <c r="B218" s="1259"/>
      <c r="C218" s="981"/>
      <c r="D218" s="981"/>
      <c r="E218" s="1459"/>
      <c r="G218" s="981" t="s">
        <v>2329</v>
      </c>
      <c r="H218" s="1614">
        <f>IF(E$59&lt;E$58,E262,0)</f>
        <v>0</v>
      </c>
      <c r="J218" s="1459"/>
      <c r="K218" s="1459"/>
      <c r="L218" s="1459"/>
      <c r="M218" s="1459"/>
      <c r="N218" s="1459"/>
      <c r="O218" s="1459"/>
      <c r="P218" s="1459"/>
      <c r="Q218" s="1459"/>
      <c r="R218" s="1459"/>
      <c r="S218" s="1459"/>
      <c r="T218" s="1459"/>
      <c r="U218" s="1459"/>
      <c r="V218" s="1459"/>
      <c r="W218" s="1459"/>
      <c r="X218" s="1459"/>
      <c r="Y218" s="1459"/>
      <c r="Z218" s="1459"/>
      <c r="AA218" s="1459"/>
      <c r="AB218" s="1459"/>
      <c r="AC218" s="1459"/>
      <c r="AD218" s="1459"/>
      <c r="AE218" s="1459"/>
      <c r="AF218" s="1459"/>
      <c r="AG218" s="1459"/>
      <c r="AH218" s="1459"/>
      <c r="AI218" s="1459"/>
      <c r="AJ218" s="1459"/>
      <c r="AK218" s="1459"/>
      <c r="AL218" s="1459"/>
      <c r="AM218" s="1459"/>
      <c r="AN218" s="1459"/>
      <c r="AO218" s="1459"/>
      <c r="AP218" s="1459"/>
      <c r="AQ218" s="1459"/>
      <c r="AR218" s="1459"/>
      <c r="AS218" s="1459"/>
      <c r="AT218" s="1459"/>
      <c r="AU218" s="1459"/>
      <c r="AV218" s="1459"/>
      <c r="AW218" s="1459"/>
      <c r="AX218" s="1459"/>
      <c r="AY218" s="1459"/>
      <c r="AZ218" s="1459"/>
      <c r="BA218" s="1459"/>
      <c r="BB218" s="1459"/>
      <c r="BC218" s="1459"/>
      <c r="BD218" s="1459"/>
      <c r="BE218" s="1459"/>
      <c r="BF218" s="1459"/>
      <c r="BG218" s="1459"/>
      <c r="BH218" s="1459"/>
      <c r="BI218" s="1459"/>
      <c r="BJ218" s="1459"/>
      <c r="BK218" s="1459"/>
      <c r="BL218" s="1459"/>
    </row>
    <row r="219" spans="1:64">
      <c r="A219" s="981" t="s">
        <v>2184</v>
      </c>
      <c r="B219" s="637">
        <f>IF(AND(F$63=0,F$54&lt;=100),0,IF(AND(F$63=0,F$54&lt;=1000),F$54-100,IF(AND(F$63=0,F$54&gt;1000),1000-100,IF(AND(F$63&gt;0,F$54+F$63&lt;=100),0,IF(AND(F$63&gt;0,F$63+F$54&lt;=1000),F$63+F$54-100,IF(AND(F$63&gt;0,F$63+F$54&gt;1000),1000-100))))))</f>
        <v>0</v>
      </c>
      <c r="C219" s="981" t="s">
        <v>2185</v>
      </c>
      <c r="D219" s="637">
        <f>B219*20/100</f>
        <v>0</v>
      </c>
      <c r="E219" s="1459"/>
      <c r="G219" s="981"/>
      <c r="H219" s="637">
        <f>H217-H218</f>
        <v>0</v>
      </c>
      <c r="J219" s="1459"/>
      <c r="K219" s="1459"/>
      <c r="L219" s="1459"/>
      <c r="M219" s="1459"/>
      <c r="N219" s="1459"/>
      <c r="O219" s="1459"/>
      <c r="P219" s="1459"/>
      <c r="Q219" s="1459"/>
      <c r="R219" s="1459"/>
      <c r="S219" s="1459"/>
      <c r="T219" s="1459"/>
      <c r="U219" s="1459"/>
      <c r="V219" s="1459"/>
      <c r="W219" s="1459"/>
      <c r="X219" s="1459"/>
      <c r="Y219" s="1459"/>
      <c r="Z219" s="1459"/>
      <c r="AA219" s="1459"/>
      <c r="AB219" s="1459"/>
      <c r="AC219" s="1459"/>
      <c r="AD219" s="1459"/>
      <c r="AE219" s="1459"/>
      <c r="AF219" s="1459"/>
      <c r="AG219" s="1459"/>
      <c r="AH219" s="1459"/>
      <c r="AI219" s="1459"/>
      <c r="AJ219" s="1459"/>
      <c r="AK219" s="1459"/>
      <c r="AL219" s="1459"/>
      <c r="AM219" s="1459"/>
      <c r="AN219" s="1459"/>
      <c r="AO219" s="1459"/>
      <c r="AP219" s="1459"/>
      <c r="AQ219" s="1459"/>
      <c r="AR219" s="1459"/>
      <c r="AS219" s="1459"/>
      <c r="AT219" s="1459"/>
      <c r="AU219" s="1459"/>
      <c r="AV219" s="1459"/>
      <c r="AW219" s="1459"/>
      <c r="AX219" s="1459"/>
      <c r="AY219" s="1459"/>
      <c r="AZ219" s="1459"/>
      <c r="BA219" s="1459"/>
      <c r="BB219" s="1459"/>
      <c r="BC219" s="1459"/>
      <c r="BD219" s="1459"/>
      <c r="BE219" s="1459"/>
      <c r="BF219" s="1459"/>
      <c r="BG219" s="1459"/>
      <c r="BH219" s="1459"/>
      <c r="BI219" s="1459"/>
      <c r="BJ219" s="1459"/>
      <c r="BK219" s="1459"/>
      <c r="BL219" s="1459"/>
    </row>
    <row r="220" spans="1:64">
      <c r="A220" s="981" t="s">
        <v>2186</v>
      </c>
      <c r="B220" s="637">
        <f>IF(F$54+F$63&lt;1000.01,0,IF(AND(F$54+F$63&gt;1000,F$54+F$63&lt;=1200),F$54+F$63-1000,IF(F$54+F$63&gt;1200,1200-1000,)))</f>
        <v>0</v>
      </c>
      <c r="C220" s="981" t="s">
        <v>2187</v>
      </c>
      <c r="D220" s="637">
        <f>B220*10/100</f>
        <v>0</v>
      </c>
      <c r="E220" s="1459"/>
      <c r="G220" s="981" t="s">
        <v>2330</v>
      </c>
      <c r="H220" s="1615">
        <f>H219/6</f>
        <v>0</v>
      </c>
      <c r="J220" s="1459"/>
      <c r="K220" s="1459"/>
      <c r="L220" s="1459"/>
      <c r="M220" s="1459"/>
      <c r="N220" s="1459"/>
      <c r="O220" s="1459"/>
      <c r="P220" s="1459"/>
      <c r="Q220" s="1459"/>
      <c r="R220" s="1459"/>
      <c r="S220" s="1459"/>
      <c r="T220" s="1459"/>
      <c r="U220" s="1459"/>
      <c r="V220" s="1459"/>
      <c r="W220" s="1459"/>
      <c r="X220" s="1459"/>
      <c r="Y220" s="1459"/>
      <c r="Z220" s="1459"/>
      <c r="AA220" s="1459"/>
      <c r="AB220" s="1459"/>
      <c r="AC220" s="1459"/>
      <c r="AD220" s="1459"/>
      <c r="AE220" s="1459"/>
      <c r="AF220" s="1459"/>
      <c r="AG220" s="1459"/>
      <c r="AH220" s="1459"/>
      <c r="AI220" s="1459"/>
      <c r="AJ220" s="1459"/>
      <c r="AK220" s="1459"/>
      <c r="AL220" s="1459"/>
      <c r="AM220" s="1459"/>
      <c r="AN220" s="1459"/>
      <c r="AO220" s="1459"/>
      <c r="AP220" s="1459"/>
      <c r="AQ220" s="1459"/>
      <c r="AR220" s="1459"/>
      <c r="AS220" s="1459"/>
      <c r="AT220" s="1459"/>
      <c r="AU220" s="1459"/>
      <c r="AV220" s="1459"/>
      <c r="AW220" s="1459"/>
      <c r="AX220" s="1459"/>
      <c r="AY220" s="1459"/>
      <c r="AZ220" s="1459"/>
      <c r="BA220" s="1459"/>
      <c r="BB220" s="1459"/>
      <c r="BC220" s="1459"/>
      <c r="BD220" s="1459"/>
      <c r="BE220" s="1459"/>
      <c r="BF220" s="1459"/>
      <c r="BG220" s="1459"/>
      <c r="BH220" s="1459"/>
      <c r="BI220" s="1459"/>
      <c r="BJ220" s="1459"/>
      <c r="BK220" s="1459"/>
      <c r="BL220" s="1459"/>
    </row>
    <row r="221" spans="1:64">
      <c r="A221" s="1262" t="s">
        <v>141</v>
      </c>
      <c r="B221" s="981"/>
      <c r="C221" s="981"/>
      <c r="D221" s="1263">
        <f>SUM(D219:D220)</f>
        <v>0</v>
      </c>
      <c r="E221" s="1459"/>
      <c r="J221" s="1459"/>
      <c r="K221" s="1459"/>
      <c r="L221" s="1459"/>
      <c r="M221" s="1459"/>
      <c r="N221" s="1459"/>
      <c r="O221" s="1459"/>
      <c r="P221" s="1459"/>
      <c r="Q221" s="1459"/>
      <c r="R221" s="1459"/>
      <c r="S221" s="1459"/>
      <c r="T221" s="1459"/>
      <c r="U221" s="1459"/>
      <c r="V221" s="1459"/>
      <c r="W221" s="1459"/>
      <c r="X221" s="1459"/>
      <c r="Y221" s="1459"/>
      <c r="Z221" s="1459"/>
      <c r="AA221" s="1459"/>
      <c r="AB221" s="1459"/>
      <c r="AC221" s="1459"/>
      <c r="AD221" s="1459"/>
      <c r="AE221" s="1459"/>
      <c r="AF221" s="1459"/>
      <c r="AG221" s="1459"/>
      <c r="AH221" s="1459"/>
      <c r="AI221" s="1459"/>
      <c r="AJ221" s="1459"/>
      <c r="AK221" s="1459"/>
      <c r="AL221" s="1459"/>
      <c r="AM221" s="1459"/>
      <c r="AN221" s="1459"/>
      <c r="AO221" s="1459"/>
      <c r="AP221" s="1459"/>
      <c r="AQ221" s="1459"/>
      <c r="AR221" s="1459"/>
      <c r="AS221" s="1459"/>
      <c r="AT221" s="1459"/>
      <c r="AU221" s="1459"/>
      <c r="AV221" s="1459"/>
      <c r="AW221" s="1459"/>
      <c r="AX221" s="1459"/>
      <c r="AY221" s="1459"/>
      <c r="AZ221" s="1459"/>
      <c r="BA221" s="1459"/>
      <c r="BB221" s="1459"/>
      <c r="BC221" s="1459"/>
      <c r="BD221" s="1459"/>
      <c r="BE221" s="1459"/>
      <c r="BF221" s="1459"/>
      <c r="BG221" s="1459"/>
      <c r="BH221" s="1459"/>
      <c r="BI221" s="1459"/>
      <c r="BJ221" s="1459"/>
      <c r="BK221" s="1459"/>
      <c r="BL221" s="1459"/>
    </row>
    <row r="222" spans="1:64">
      <c r="A222" s="981"/>
      <c r="B222" s="981"/>
      <c r="C222" s="981"/>
      <c r="D222" s="981"/>
      <c r="E222" s="1459"/>
      <c r="G222" s="1259" t="s">
        <v>145</v>
      </c>
      <c r="H222" s="981"/>
      <c r="J222" s="1459"/>
      <c r="K222" s="1459"/>
      <c r="L222" s="1459"/>
      <c r="M222" s="1459"/>
      <c r="N222" s="1459"/>
      <c r="O222" s="1459"/>
      <c r="P222" s="1459"/>
      <c r="Q222" s="1459"/>
      <c r="R222" s="1459"/>
      <c r="S222" s="1459"/>
      <c r="T222" s="1459"/>
      <c r="U222" s="1459"/>
      <c r="V222" s="1459"/>
      <c r="W222" s="1459"/>
      <c r="X222" s="1459"/>
      <c r="Y222" s="1459"/>
      <c r="Z222" s="1459"/>
      <c r="AA222" s="1459"/>
      <c r="AB222" s="1459"/>
      <c r="AC222" s="1459"/>
      <c r="AD222" s="1459"/>
      <c r="AE222" s="1459"/>
      <c r="AF222" s="1459"/>
      <c r="AG222" s="1459"/>
      <c r="AH222" s="1459"/>
      <c r="AI222" s="1459"/>
      <c r="AJ222" s="1459"/>
      <c r="AK222" s="1459"/>
      <c r="AL222" s="1459"/>
      <c r="AM222" s="1459"/>
      <c r="AN222" s="1459"/>
      <c r="AO222" s="1459"/>
      <c r="AP222" s="1459"/>
      <c r="AQ222" s="1459"/>
      <c r="AR222" s="1459"/>
      <c r="AS222" s="1459"/>
      <c r="AT222" s="1459"/>
      <c r="AU222" s="1459"/>
      <c r="AV222" s="1459"/>
      <c r="AW222" s="1459"/>
      <c r="AX222" s="1459"/>
      <c r="AY222" s="1459"/>
      <c r="AZ222" s="1459"/>
      <c r="BA222" s="1459"/>
      <c r="BB222" s="1459"/>
      <c r="BC222" s="1459"/>
      <c r="BD222" s="1459"/>
      <c r="BE222" s="1459"/>
      <c r="BF222" s="1459"/>
      <c r="BG222" s="1459"/>
      <c r="BH222" s="1459"/>
      <c r="BI222" s="1459"/>
      <c r="BJ222" s="1459"/>
      <c r="BK222" s="1459"/>
      <c r="BL222" s="1459"/>
    </row>
    <row r="223" spans="1:64">
      <c r="A223" s="1258" t="s">
        <v>2191</v>
      </c>
      <c r="B223" s="1259"/>
      <c r="C223" s="981"/>
      <c r="D223" s="981"/>
      <c r="E223" s="1459"/>
      <c r="G223" s="981" t="s">
        <v>2328</v>
      </c>
      <c r="H223" s="637">
        <f>IF(F$59&lt;F$58,F$58,0)</f>
        <v>0</v>
      </c>
      <c r="J223" s="1459"/>
      <c r="K223" s="1459"/>
      <c r="L223" s="1459"/>
      <c r="M223" s="1459"/>
      <c r="N223" s="1459"/>
      <c r="O223" s="1459"/>
      <c r="P223" s="1459"/>
      <c r="Q223" s="1459"/>
      <c r="R223" s="1459"/>
      <c r="S223" s="1459"/>
      <c r="T223" s="1459"/>
      <c r="U223" s="1459"/>
      <c r="V223" s="1459"/>
      <c r="W223" s="1459"/>
      <c r="X223" s="1459"/>
      <c r="Y223" s="1459"/>
      <c r="Z223" s="1459"/>
      <c r="AA223" s="1459"/>
      <c r="AB223" s="1459"/>
      <c r="AC223" s="1459"/>
      <c r="AD223" s="1459"/>
      <c r="AE223" s="1459"/>
      <c r="AF223" s="1459"/>
      <c r="AG223" s="1459"/>
      <c r="AH223" s="1459"/>
      <c r="AI223" s="1459"/>
      <c r="AJ223" s="1459"/>
      <c r="AK223" s="1459"/>
      <c r="AL223" s="1459"/>
      <c r="AM223" s="1459"/>
      <c r="AN223" s="1459"/>
      <c r="AO223" s="1459"/>
      <c r="AP223" s="1459"/>
      <c r="AQ223" s="1459"/>
      <c r="AR223" s="1459"/>
      <c r="AS223" s="1459"/>
      <c r="AT223" s="1459"/>
      <c r="AU223" s="1459"/>
      <c r="AV223" s="1459"/>
      <c r="AW223" s="1459"/>
      <c r="AX223" s="1459"/>
      <c r="AY223" s="1459"/>
      <c r="AZ223" s="1459"/>
      <c r="BA223" s="1459"/>
      <c r="BB223" s="1459"/>
      <c r="BC223" s="1459"/>
      <c r="BD223" s="1459"/>
      <c r="BE223" s="1459"/>
      <c r="BF223" s="1459"/>
      <c r="BG223" s="1459"/>
      <c r="BH223" s="1459"/>
      <c r="BI223" s="1459"/>
      <c r="BJ223" s="1459"/>
      <c r="BK223" s="1459"/>
      <c r="BL223" s="1459"/>
    </row>
    <row r="224" spans="1:64">
      <c r="A224" s="981" t="s">
        <v>2184</v>
      </c>
      <c r="B224" s="637">
        <f>IF(AND(G$63=0,G$54&lt;=100),0,IF(AND(G$63=0,G$54&lt;=1000),G$54-100,IF(AND(G$63=0,G$54&gt;1000),1000-100,IF(AND(G$63&gt;0,G$54+G$63&lt;=100),0,IF(AND(G$63&gt;0,G$63+G$54&lt;=1000),G$63+G$54-100,IF(AND(G$63&gt;0,G$63+G$54&gt;1000),1000-100))))))</f>
        <v>0</v>
      </c>
      <c r="C224" s="981" t="s">
        <v>2185</v>
      </c>
      <c r="D224" s="637">
        <f>B224*20/100</f>
        <v>0</v>
      </c>
      <c r="E224" s="1459"/>
      <c r="G224" s="981" t="s">
        <v>2329</v>
      </c>
      <c r="H224" s="1614">
        <f>IF(F$59&lt;F$58,E267,0)</f>
        <v>0</v>
      </c>
      <c r="J224" s="1459"/>
      <c r="K224" s="1459"/>
      <c r="L224" s="1459"/>
      <c r="M224" s="1459"/>
      <c r="N224" s="1459"/>
      <c r="O224" s="1459"/>
      <c r="P224" s="1459"/>
      <c r="Q224" s="1459"/>
      <c r="R224" s="1459"/>
      <c r="S224" s="1459"/>
      <c r="T224" s="1459"/>
      <c r="U224" s="1459"/>
      <c r="V224" s="1459"/>
      <c r="W224" s="1459"/>
      <c r="X224" s="1459"/>
      <c r="Y224" s="1459"/>
      <c r="Z224" s="1459"/>
      <c r="AA224" s="1459"/>
      <c r="AB224" s="1459"/>
      <c r="AC224" s="1459"/>
      <c r="AD224" s="1459"/>
      <c r="AE224" s="1459"/>
      <c r="AF224" s="1459"/>
      <c r="AG224" s="1459"/>
      <c r="AH224" s="1459"/>
      <c r="AI224" s="1459"/>
      <c r="AJ224" s="1459"/>
      <c r="AK224" s="1459"/>
      <c r="AL224" s="1459"/>
      <c r="AM224" s="1459"/>
      <c r="AN224" s="1459"/>
      <c r="AO224" s="1459"/>
      <c r="AP224" s="1459"/>
      <c r="AQ224" s="1459"/>
      <c r="AR224" s="1459"/>
      <c r="AS224" s="1459"/>
      <c r="AT224" s="1459"/>
      <c r="AU224" s="1459"/>
      <c r="AV224" s="1459"/>
      <c r="AW224" s="1459"/>
      <c r="AX224" s="1459"/>
      <c r="AY224" s="1459"/>
      <c r="AZ224" s="1459"/>
      <c r="BA224" s="1459"/>
      <c r="BB224" s="1459"/>
      <c r="BC224" s="1459"/>
      <c r="BD224" s="1459"/>
      <c r="BE224" s="1459"/>
      <c r="BF224" s="1459"/>
      <c r="BG224" s="1459"/>
      <c r="BH224" s="1459"/>
      <c r="BI224" s="1459"/>
      <c r="BJ224" s="1459"/>
      <c r="BK224" s="1459"/>
      <c r="BL224" s="1459"/>
    </row>
    <row r="225" spans="1:64">
      <c r="A225" s="981" t="s">
        <v>2186</v>
      </c>
      <c r="B225" s="637">
        <f>IF(G$54+G$63&lt;1000.01,0,IF(AND(G$54+G$63&gt;1000,G$54+G$63&lt;=1200),G$54+G$63-1000,IF(G$54+G$63&gt;1200,1200-1000,)))</f>
        <v>0</v>
      </c>
      <c r="C225" s="981" t="s">
        <v>2187</v>
      </c>
      <c r="D225" s="637">
        <f>B225*10/100</f>
        <v>0</v>
      </c>
      <c r="E225" s="1459"/>
      <c r="G225" s="981"/>
      <c r="H225" s="637">
        <f>H223-H224</f>
        <v>0</v>
      </c>
      <c r="J225" s="1459"/>
      <c r="K225" s="1459"/>
      <c r="L225" s="1459"/>
      <c r="M225" s="1459"/>
      <c r="N225" s="1459"/>
      <c r="O225" s="1459"/>
      <c r="P225" s="1459"/>
      <c r="Q225" s="1459"/>
      <c r="R225" s="1459"/>
      <c r="S225" s="1459"/>
      <c r="T225" s="1459"/>
      <c r="U225" s="1459"/>
      <c r="V225" s="1459"/>
      <c r="W225" s="1459"/>
      <c r="X225" s="1459"/>
      <c r="Y225" s="1459"/>
      <c r="Z225" s="1459"/>
      <c r="AA225" s="1459"/>
      <c r="AB225" s="1459"/>
      <c r="AC225" s="1459"/>
      <c r="AD225" s="1459"/>
      <c r="AE225" s="1459"/>
      <c r="AF225" s="1459"/>
      <c r="AG225" s="1459"/>
      <c r="AH225" s="1459"/>
      <c r="AI225" s="1459"/>
      <c r="AJ225" s="1459"/>
      <c r="AK225" s="1459"/>
      <c r="AL225" s="1459"/>
      <c r="AM225" s="1459"/>
      <c r="AN225" s="1459"/>
      <c r="AO225" s="1459"/>
      <c r="AP225" s="1459"/>
      <c r="AQ225" s="1459"/>
      <c r="AR225" s="1459"/>
      <c r="AS225" s="1459"/>
      <c r="AT225" s="1459"/>
      <c r="AU225" s="1459"/>
      <c r="AV225" s="1459"/>
      <c r="AW225" s="1459"/>
      <c r="AX225" s="1459"/>
      <c r="AY225" s="1459"/>
      <c r="AZ225" s="1459"/>
      <c r="BA225" s="1459"/>
      <c r="BB225" s="1459"/>
      <c r="BC225" s="1459"/>
      <c r="BD225" s="1459"/>
      <c r="BE225" s="1459"/>
      <c r="BF225" s="1459"/>
      <c r="BG225" s="1459"/>
      <c r="BH225" s="1459"/>
      <c r="BI225" s="1459"/>
      <c r="BJ225" s="1459"/>
      <c r="BK225" s="1459"/>
      <c r="BL225" s="1459"/>
    </row>
    <row r="226" spans="1:64">
      <c r="A226" s="1262" t="s">
        <v>141</v>
      </c>
      <c r="B226" s="981"/>
      <c r="C226" s="981"/>
      <c r="D226" s="1263">
        <f>SUM(D224:D225)</f>
        <v>0</v>
      </c>
      <c r="E226" s="1459"/>
      <c r="G226" s="981" t="s">
        <v>2330</v>
      </c>
      <c r="H226" s="1615">
        <f>H225/6</f>
        <v>0</v>
      </c>
      <c r="J226" s="1459"/>
      <c r="K226" s="1459"/>
      <c r="L226" s="1459"/>
      <c r="M226" s="1459"/>
      <c r="N226" s="1459"/>
      <c r="O226" s="1459"/>
      <c r="P226" s="1459"/>
      <c r="Q226" s="1459"/>
      <c r="R226" s="1459"/>
      <c r="S226" s="1459"/>
      <c r="T226" s="1459"/>
      <c r="U226" s="1459"/>
      <c r="V226" s="1459"/>
      <c r="W226" s="1459"/>
      <c r="X226" s="1459"/>
      <c r="Y226" s="1459"/>
      <c r="Z226" s="1459"/>
      <c r="AA226" s="1459"/>
      <c r="AB226" s="1459"/>
      <c r="AC226" s="1459"/>
      <c r="AD226" s="1459"/>
      <c r="AE226" s="1459"/>
      <c r="AF226" s="1459"/>
      <c r="AG226" s="1459"/>
      <c r="AH226" s="1459"/>
      <c r="AI226" s="1459"/>
      <c r="AJ226" s="1459"/>
      <c r="AK226" s="1459"/>
      <c r="AL226" s="1459"/>
      <c r="AM226" s="1459"/>
      <c r="AN226" s="1459"/>
      <c r="AO226" s="1459"/>
      <c r="AP226" s="1459"/>
      <c r="AQ226" s="1459"/>
      <c r="AR226" s="1459"/>
      <c r="AS226" s="1459"/>
      <c r="AT226" s="1459"/>
      <c r="AU226" s="1459"/>
      <c r="AV226" s="1459"/>
      <c r="AW226" s="1459"/>
      <c r="AX226" s="1459"/>
      <c r="AY226" s="1459"/>
      <c r="AZ226" s="1459"/>
      <c r="BA226" s="1459"/>
      <c r="BB226" s="1459"/>
      <c r="BC226" s="1459"/>
      <c r="BD226" s="1459"/>
      <c r="BE226" s="1459"/>
      <c r="BF226" s="1459"/>
      <c r="BG226" s="1459"/>
      <c r="BH226" s="1459"/>
      <c r="BI226" s="1459"/>
      <c r="BJ226" s="1459"/>
      <c r="BK226" s="1459"/>
      <c r="BL226" s="1459"/>
    </row>
    <row r="227" spans="1:64">
      <c r="A227" s="981"/>
      <c r="B227" s="981"/>
      <c r="C227" s="981"/>
      <c r="D227" s="981"/>
      <c r="E227" s="1459"/>
      <c r="J227" s="1459"/>
      <c r="K227" s="1459"/>
      <c r="L227" s="1459"/>
      <c r="M227" s="1459"/>
      <c r="N227" s="1459"/>
      <c r="O227" s="1459"/>
      <c r="P227" s="1459"/>
      <c r="Q227" s="1459"/>
      <c r="R227" s="1459"/>
      <c r="S227" s="1459"/>
      <c r="T227" s="1459"/>
      <c r="U227" s="1459"/>
      <c r="V227" s="1459"/>
      <c r="W227" s="1459"/>
      <c r="X227" s="1459"/>
      <c r="Y227" s="1459"/>
      <c r="Z227" s="1459"/>
      <c r="AA227" s="1459"/>
      <c r="AB227" s="1459"/>
      <c r="AC227" s="1459"/>
      <c r="AD227" s="1459"/>
      <c r="AE227" s="1459"/>
      <c r="AF227" s="1459"/>
      <c r="AG227" s="1459"/>
      <c r="AH227" s="1459"/>
      <c r="AI227" s="1459"/>
      <c r="AJ227" s="1459"/>
      <c r="AK227" s="1459"/>
      <c r="AL227" s="1459"/>
      <c r="AM227" s="1459"/>
      <c r="AN227" s="1459"/>
      <c r="AO227" s="1459"/>
      <c r="AP227" s="1459"/>
      <c r="AQ227" s="1459"/>
      <c r="AR227" s="1459"/>
      <c r="AS227" s="1459"/>
      <c r="AT227" s="1459"/>
      <c r="AU227" s="1459"/>
      <c r="AV227" s="1459"/>
      <c r="AW227" s="1459"/>
      <c r="AX227" s="1459"/>
      <c r="AY227" s="1459"/>
      <c r="AZ227" s="1459"/>
      <c r="BA227" s="1459"/>
      <c r="BB227" s="1459"/>
      <c r="BC227" s="1459"/>
      <c r="BD227" s="1459"/>
      <c r="BE227" s="1459"/>
      <c r="BF227" s="1459"/>
      <c r="BG227" s="1459"/>
      <c r="BH227" s="1459"/>
      <c r="BI227" s="1459"/>
      <c r="BJ227" s="1459"/>
      <c r="BK227" s="1459"/>
      <c r="BL227" s="1459"/>
    </row>
    <row r="228" spans="1:64">
      <c r="A228" s="1258" t="s">
        <v>2192</v>
      </c>
      <c r="B228" s="1259"/>
      <c r="C228" s="981"/>
      <c r="D228" s="981"/>
      <c r="E228" s="1459"/>
      <c r="G228" s="1259" t="s">
        <v>146</v>
      </c>
      <c r="H228" s="981"/>
      <c r="J228" s="1459"/>
      <c r="K228" s="1459"/>
      <c r="L228" s="1459"/>
      <c r="M228" s="1459"/>
      <c r="N228" s="1459"/>
      <c r="O228" s="1459"/>
      <c r="P228" s="1459"/>
      <c r="Q228" s="1459"/>
      <c r="R228" s="1459"/>
      <c r="S228" s="1459"/>
      <c r="T228" s="1459"/>
      <c r="U228" s="1459"/>
      <c r="V228" s="1459"/>
      <c r="W228" s="1459"/>
      <c r="X228" s="1459"/>
      <c r="Y228" s="1459"/>
      <c r="Z228" s="1459"/>
      <c r="AA228" s="1459"/>
      <c r="AB228" s="1459"/>
      <c r="AC228" s="1459"/>
      <c r="AD228" s="1459"/>
      <c r="AE228" s="1459"/>
      <c r="AF228" s="1459"/>
      <c r="AG228" s="1459"/>
      <c r="AH228" s="1459"/>
      <c r="AI228" s="1459"/>
      <c r="AJ228" s="1459"/>
      <c r="AK228" s="1459"/>
      <c r="AL228" s="1459"/>
      <c r="AM228" s="1459"/>
      <c r="AN228" s="1459"/>
      <c r="AO228" s="1459"/>
      <c r="AP228" s="1459"/>
      <c r="AQ228" s="1459"/>
      <c r="AR228" s="1459"/>
      <c r="AS228" s="1459"/>
      <c r="AT228" s="1459"/>
      <c r="AU228" s="1459"/>
      <c r="AV228" s="1459"/>
      <c r="AW228" s="1459"/>
      <c r="AX228" s="1459"/>
      <c r="AY228" s="1459"/>
      <c r="AZ228" s="1459"/>
      <c r="BA228" s="1459"/>
      <c r="BB228" s="1459"/>
      <c r="BC228" s="1459"/>
      <c r="BD228" s="1459"/>
      <c r="BE228" s="1459"/>
      <c r="BF228" s="1459"/>
      <c r="BG228" s="1459"/>
      <c r="BH228" s="1459"/>
      <c r="BI228" s="1459"/>
      <c r="BJ228" s="1459"/>
      <c r="BK228" s="1459"/>
      <c r="BL228" s="1459"/>
    </row>
    <row r="229" spans="1:64">
      <c r="A229" s="981" t="s">
        <v>2184</v>
      </c>
      <c r="B229" s="637">
        <f>IF(AND(H$63=0,H$54&lt;=100),0,IF(AND(H$63=0,H$54&lt;=1000),H$54-100,IF(AND(H$63=0,H$54&gt;1000),1000-100,IF(AND(H$63&gt;0,H$54+H$63&lt;=100),0,IF(AND(H$63&gt;0,H$63+H$54&lt;=1000),H$63+H$54-100,IF(AND(H$63&gt;0,H$63+H$54&gt;1000),1000-100))))))</f>
        <v>0</v>
      </c>
      <c r="C229" s="981" t="s">
        <v>2185</v>
      </c>
      <c r="D229" s="637">
        <f>B229*20/100</f>
        <v>0</v>
      </c>
      <c r="E229" s="1459"/>
      <c r="G229" s="981" t="s">
        <v>2328</v>
      </c>
      <c r="H229" s="637">
        <f>IF(G$59&lt;G$58,G$58,0)</f>
        <v>0</v>
      </c>
      <c r="J229" s="1459"/>
      <c r="K229" s="1459"/>
      <c r="L229" s="1459"/>
      <c r="M229" s="1459"/>
      <c r="N229" s="1459"/>
      <c r="O229" s="1459"/>
      <c r="P229" s="1459"/>
      <c r="Q229" s="1459"/>
      <c r="R229" s="1459"/>
      <c r="S229" s="1459"/>
      <c r="T229" s="1459"/>
      <c r="U229" s="1459"/>
      <c r="V229" s="1459"/>
      <c r="W229" s="1459"/>
      <c r="X229" s="1459"/>
      <c r="Y229" s="1459"/>
      <c r="Z229" s="1459"/>
      <c r="AA229" s="1459"/>
      <c r="AB229" s="1459"/>
      <c r="AC229" s="1459"/>
      <c r="AD229" s="1459"/>
      <c r="AE229" s="1459"/>
      <c r="AF229" s="1459"/>
      <c r="AG229" s="1459"/>
      <c r="AH229" s="1459"/>
      <c r="AI229" s="1459"/>
      <c r="AJ229" s="1459"/>
      <c r="AK229" s="1459"/>
      <c r="AL229" s="1459"/>
      <c r="AM229" s="1459"/>
      <c r="AN229" s="1459"/>
      <c r="AO229" s="1459"/>
      <c r="AP229" s="1459"/>
      <c r="AQ229" s="1459"/>
      <c r="AR229" s="1459"/>
      <c r="AS229" s="1459"/>
      <c r="AT229" s="1459"/>
      <c r="AU229" s="1459"/>
      <c r="AV229" s="1459"/>
      <c r="AW229" s="1459"/>
      <c r="AX229" s="1459"/>
      <c r="AY229" s="1459"/>
      <c r="AZ229" s="1459"/>
      <c r="BA229" s="1459"/>
      <c r="BB229" s="1459"/>
      <c r="BC229" s="1459"/>
      <c r="BD229" s="1459"/>
      <c r="BE229" s="1459"/>
      <c r="BF229" s="1459"/>
      <c r="BG229" s="1459"/>
      <c r="BH229" s="1459"/>
      <c r="BI229" s="1459"/>
      <c r="BJ229" s="1459"/>
      <c r="BK229" s="1459"/>
      <c r="BL229" s="1459"/>
    </row>
    <row r="230" spans="1:64">
      <c r="A230" s="981" t="s">
        <v>2186</v>
      </c>
      <c r="B230" s="637">
        <f>IF(H$54+H$63&lt;1000.01,0,IF(AND(H$54+H$63&gt;1000,H$54+H$63&lt;=1200),H$54+H$63-1000,IF(H$54+H$63&gt;1200,1200-1000,)))</f>
        <v>0</v>
      </c>
      <c r="C230" s="981" t="s">
        <v>2187</v>
      </c>
      <c r="D230" s="637">
        <f>B230*10/100</f>
        <v>0</v>
      </c>
      <c r="E230" s="1459"/>
      <c r="G230" s="981" t="s">
        <v>2329</v>
      </c>
      <c r="H230" s="1614">
        <f>IF(G$59&lt;G$58,E272,0)</f>
        <v>0</v>
      </c>
      <c r="J230" s="1459"/>
      <c r="K230" s="1459"/>
      <c r="L230" s="1459"/>
      <c r="M230" s="1459"/>
      <c r="N230" s="1459"/>
      <c r="O230" s="1459"/>
      <c r="P230" s="1459"/>
      <c r="Q230" s="1459"/>
      <c r="R230" s="1459"/>
      <c r="S230" s="1459"/>
      <c r="T230" s="1459"/>
      <c r="U230" s="1459"/>
      <c r="V230" s="1459"/>
      <c r="W230" s="1459"/>
      <c r="X230" s="1459"/>
      <c r="Y230" s="1459"/>
      <c r="Z230" s="1459"/>
      <c r="AA230" s="1459"/>
      <c r="AB230" s="1459"/>
      <c r="AC230" s="1459"/>
      <c r="AD230" s="1459"/>
      <c r="AE230" s="1459"/>
      <c r="AF230" s="1459"/>
      <c r="AG230" s="1459"/>
      <c r="AH230" s="1459"/>
      <c r="AI230" s="1459"/>
      <c r="AJ230" s="1459"/>
      <c r="AK230" s="1459"/>
      <c r="AL230" s="1459"/>
      <c r="AM230" s="1459"/>
      <c r="AN230" s="1459"/>
      <c r="AO230" s="1459"/>
      <c r="AP230" s="1459"/>
      <c r="AQ230" s="1459"/>
      <c r="AR230" s="1459"/>
      <c r="AS230" s="1459"/>
      <c r="AT230" s="1459"/>
      <c r="AU230" s="1459"/>
      <c r="AV230" s="1459"/>
      <c r="AW230" s="1459"/>
      <c r="AX230" s="1459"/>
      <c r="AY230" s="1459"/>
      <c r="AZ230" s="1459"/>
      <c r="BA230" s="1459"/>
      <c r="BB230" s="1459"/>
      <c r="BC230" s="1459"/>
      <c r="BD230" s="1459"/>
      <c r="BE230" s="1459"/>
      <c r="BF230" s="1459"/>
      <c r="BG230" s="1459"/>
      <c r="BH230" s="1459"/>
      <c r="BI230" s="1459"/>
      <c r="BJ230" s="1459"/>
      <c r="BK230" s="1459"/>
      <c r="BL230" s="1459"/>
    </row>
    <row r="231" spans="1:64">
      <c r="A231" s="1262" t="s">
        <v>141</v>
      </c>
      <c r="B231" s="981"/>
      <c r="C231" s="981"/>
      <c r="D231" s="1263">
        <f>SUM(D229:D230)</f>
        <v>0</v>
      </c>
      <c r="E231" s="1459"/>
      <c r="G231" s="981"/>
      <c r="H231" s="637">
        <f>H229-H230</f>
        <v>0</v>
      </c>
      <c r="J231" s="1459"/>
      <c r="K231" s="1459"/>
      <c r="L231" s="1459"/>
      <c r="M231" s="1459"/>
      <c r="N231" s="1459"/>
      <c r="O231" s="1459"/>
      <c r="P231" s="1459"/>
      <c r="Q231" s="1459"/>
      <c r="R231" s="1459"/>
      <c r="S231" s="1459"/>
      <c r="T231" s="1459"/>
      <c r="U231" s="1459"/>
      <c r="V231" s="1459"/>
      <c r="W231" s="1459"/>
      <c r="X231" s="1459"/>
      <c r="Y231" s="1459"/>
      <c r="Z231" s="1459"/>
      <c r="AA231" s="1459"/>
      <c r="AB231" s="1459"/>
      <c r="AC231" s="1459"/>
      <c r="AD231" s="1459"/>
      <c r="AE231" s="1459"/>
      <c r="AF231" s="1459"/>
      <c r="AG231" s="1459"/>
      <c r="AH231" s="1459"/>
      <c r="AI231" s="1459"/>
      <c r="AJ231" s="1459"/>
      <c r="AK231" s="1459"/>
      <c r="AL231" s="1459"/>
      <c r="AM231" s="1459"/>
      <c r="AN231" s="1459"/>
      <c r="AO231" s="1459"/>
      <c r="AP231" s="1459"/>
      <c r="AQ231" s="1459"/>
      <c r="AR231" s="1459"/>
      <c r="AS231" s="1459"/>
      <c r="AT231" s="1459"/>
      <c r="AU231" s="1459"/>
      <c r="AV231" s="1459"/>
      <c r="AW231" s="1459"/>
      <c r="AX231" s="1459"/>
      <c r="AY231" s="1459"/>
      <c r="AZ231" s="1459"/>
      <c r="BA231" s="1459"/>
      <c r="BB231" s="1459"/>
      <c r="BC231" s="1459"/>
      <c r="BD231" s="1459"/>
      <c r="BE231" s="1459"/>
      <c r="BF231" s="1459"/>
      <c r="BG231" s="1459"/>
      <c r="BH231" s="1459"/>
      <c r="BI231" s="1459"/>
      <c r="BJ231" s="1459"/>
      <c r="BK231" s="1459"/>
      <c r="BL231" s="1459"/>
    </row>
    <row r="232" spans="1:64">
      <c r="A232" s="981"/>
      <c r="B232" s="981"/>
      <c r="C232" s="981"/>
      <c r="D232" s="981"/>
      <c r="E232" s="1459"/>
      <c r="G232" s="981" t="s">
        <v>2330</v>
      </c>
      <c r="H232" s="1615">
        <f>H231/6</f>
        <v>0</v>
      </c>
      <c r="J232" s="1459"/>
      <c r="K232" s="1459"/>
      <c r="L232" s="1459"/>
      <c r="M232" s="1459"/>
      <c r="N232" s="1459"/>
      <c r="O232" s="1459"/>
      <c r="P232" s="1459"/>
      <c r="Q232" s="1459"/>
      <c r="R232" s="1459"/>
      <c r="S232" s="1459"/>
      <c r="T232" s="1459"/>
      <c r="U232" s="1459"/>
      <c r="V232" s="1459"/>
      <c r="W232" s="1459"/>
      <c r="X232" s="1459"/>
      <c r="Y232" s="1459"/>
      <c r="Z232" s="1459"/>
      <c r="AA232" s="1459"/>
      <c r="AB232" s="1459"/>
      <c r="AC232" s="1459"/>
      <c r="AD232" s="1459"/>
      <c r="AE232" s="1459"/>
      <c r="AF232" s="1459"/>
      <c r="AG232" s="1459"/>
      <c r="AH232" s="1459"/>
      <c r="AI232" s="1459"/>
      <c r="AJ232" s="1459"/>
      <c r="AK232" s="1459"/>
      <c r="AL232" s="1459"/>
      <c r="AM232" s="1459"/>
      <c r="AN232" s="1459"/>
      <c r="AO232" s="1459"/>
      <c r="AP232" s="1459"/>
      <c r="AQ232" s="1459"/>
      <c r="AR232" s="1459"/>
      <c r="AS232" s="1459"/>
      <c r="AT232" s="1459"/>
      <c r="AU232" s="1459"/>
      <c r="AV232" s="1459"/>
      <c r="AW232" s="1459"/>
      <c r="AX232" s="1459"/>
      <c r="AY232" s="1459"/>
      <c r="AZ232" s="1459"/>
      <c r="BA232" s="1459"/>
      <c r="BB232" s="1459"/>
      <c r="BC232" s="1459"/>
      <c r="BD232" s="1459"/>
      <c r="BE232" s="1459"/>
      <c r="BF232" s="1459"/>
      <c r="BG232" s="1459"/>
      <c r="BH232" s="1459"/>
      <c r="BI232" s="1459"/>
      <c r="BJ232" s="1459"/>
      <c r="BK232" s="1459"/>
      <c r="BL232" s="1459"/>
    </row>
    <row r="233" spans="1:64">
      <c r="A233" s="1258" t="s">
        <v>2193</v>
      </c>
      <c r="B233" s="1259"/>
      <c r="C233" s="981"/>
      <c r="D233" s="981"/>
      <c r="E233" s="1459"/>
      <c r="J233" s="1459"/>
      <c r="K233" s="1459"/>
      <c r="L233" s="1459"/>
      <c r="M233" s="1459"/>
      <c r="N233" s="1459"/>
      <c r="O233" s="1459"/>
      <c r="P233" s="1459"/>
      <c r="Q233" s="1459"/>
      <c r="R233" s="1459"/>
      <c r="S233" s="1459"/>
      <c r="T233" s="1459"/>
      <c r="U233" s="1459"/>
      <c r="V233" s="1459"/>
      <c r="W233" s="1459"/>
      <c r="X233" s="1459"/>
      <c r="Y233" s="1459"/>
      <c r="Z233" s="1459"/>
      <c r="AA233" s="1459"/>
      <c r="AB233" s="1459"/>
      <c r="AC233" s="1459"/>
      <c r="AD233" s="1459"/>
      <c r="AE233" s="1459"/>
      <c r="AF233" s="1459"/>
      <c r="AG233" s="1459"/>
      <c r="AH233" s="1459"/>
      <c r="AI233" s="1459"/>
      <c r="AJ233" s="1459"/>
      <c r="AK233" s="1459"/>
      <c r="AL233" s="1459"/>
      <c r="AM233" s="1459"/>
      <c r="AN233" s="1459"/>
      <c r="AO233" s="1459"/>
      <c r="AP233" s="1459"/>
      <c r="AQ233" s="1459"/>
      <c r="AR233" s="1459"/>
      <c r="AS233" s="1459"/>
      <c r="AT233" s="1459"/>
      <c r="AU233" s="1459"/>
      <c r="AV233" s="1459"/>
      <c r="AW233" s="1459"/>
      <c r="AX233" s="1459"/>
      <c r="AY233" s="1459"/>
      <c r="AZ233" s="1459"/>
      <c r="BA233" s="1459"/>
      <c r="BB233" s="1459"/>
      <c r="BC233" s="1459"/>
      <c r="BD233" s="1459"/>
      <c r="BE233" s="1459"/>
      <c r="BF233" s="1459"/>
      <c r="BG233" s="1459"/>
      <c r="BH233" s="1459"/>
      <c r="BI233" s="1459"/>
      <c r="BJ233" s="1459"/>
      <c r="BK233" s="1459"/>
      <c r="BL233" s="1459"/>
    </row>
    <row r="234" spans="1:64">
      <c r="A234" s="981" t="s">
        <v>2184</v>
      </c>
      <c r="B234" s="637">
        <f>IF(AND(I$63=0,I$54&lt;=100),0,IF(AND(I$63=0,I$54&lt;=1000),I$54-100,IF(AND(I$63=0,I$54&gt;1000),1000-100,IF(AND(I$63&gt;0,I$54+I$63&lt;=100),0,IF(AND(I$63&gt;0,I$63+I$54&lt;=1000),I$63+I$54-100,IF(AND(I$63&gt;0,I$63+I$54&gt;1000),1000-100))))))</f>
        <v>0</v>
      </c>
      <c r="C234" s="981" t="s">
        <v>2185</v>
      </c>
      <c r="D234" s="637">
        <f>B234*20/100</f>
        <v>0</v>
      </c>
      <c r="E234" s="1459"/>
      <c r="G234" s="1259" t="s">
        <v>147</v>
      </c>
      <c r="H234" s="981"/>
      <c r="J234" s="1459"/>
      <c r="K234" s="1459"/>
      <c r="L234" s="1459"/>
      <c r="M234" s="1459"/>
      <c r="N234" s="1459"/>
      <c r="O234" s="1459"/>
      <c r="P234" s="1459"/>
      <c r="Q234" s="1459"/>
      <c r="R234" s="1459"/>
      <c r="S234" s="1459"/>
      <c r="T234" s="1459"/>
      <c r="U234" s="1459"/>
      <c r="V234" s="1459"/>
      <c r="W234" s="1459"/>
      <c r="X234" s="1459"/>
      <c r="Y234" s="1459"/>
      <c r="Z234" s="1459"/>
      <c r="AA234" s="1459"/>
      <c r="AB234" s="1459"/>
      <c r="AC234" s="1459"/>
      <c r="AD234" s="1459"/>
      <c r="AE234" s="1459"/>
      <c r="AF234" s="1459"/>
      <c r="AG234" s="1459"/>
      <c r="AH234" s="1459"/>
      <c r="AI234" s="1459"/>
      <c r="AJ234" s="1459"/>
      <c r="AK234" s="1459"/>
      <c r="AL234" s="1459"/>
      <c r="AM234" s="1459"/>
      <c r="AN234" s="1459"/>
      <c r="AO234" s="1459"/>
      <c r="AP234" s="1459"/>
      <c r="AQ234" s="1459"/>
      <c r="AR234" s="1459"/>
      <c r="AS234" s="1459"/>
      <c r="AT234" s="1459"/>
      <c r="AU234" s="1459"/>
      <c r="AV234" s="1459"/>
      <c r="AW234" s="1459"/>
      <c r="AX234" s="1459"/>
      <c r="AY234" s="1459"/>
      <c r="AZ234" s="1459"/>
      <c r="BA234" s="1459"/>
      <c r="BB234" s="1459"/>
      <c r="BC234" s="1459"/>
      <c r="BD234" s="1459"/>
      <c r="BE234" s="1459"/>
      <c r="BF234" s="1459"/>
      <c r="BG234" s="1459"/>
      <c r="BH234" s="1459"/>
      <c r="BI234" s="1459"/>
      <c r="BJ234" s="1459"/>
      <c r="BK234" s="1459"/>
      <c r="BL234" s="1459"/>
    </row>
    <row r="235" spans="1:64">
      <c r="A235" s="981" t="s">
        <v>2186</v>
      </c>
      <c r="B235" s="637">
        <f>IF(I$54+I$63&lt;1000.01,0,IF(AND(I$54+I$63&gt;1000,I$54+I$63&lt;=1200),I$54+I$63-1000,IF(I$54+I$63&gt;1200,1200-1000,)))</f>
        <v>0</v>
      </c>
      <c r="C235" s="981" t="s">
        <v>2187</v>
      </c>
      <c r="D235" s="637">
        <f>B235*10/100</f>
        <v>0</v>
      </c>
      <c r="E235" s="1459"/>
      <c r="G235" s="981" t="s">
        <v>2328</v>
      </c>
      <c r="H235" s="637">
        <f>IF(H$59&lt;H$58,H$58,0)</f>
        <v>0</v>
      </c>
      <c r="J235" s="1459"/>
      <c r="K235" s="1459"/>
      <c r="L235" s="1459"/>
      <c r="M235" s="1459"/>
      <c r="N235" s="1459"/>
      <c r="O235" s="1459"/>
      <c r="P235" s="1459"/>
      <c r="Q235" s="1459"/>
      <c r="R235" s="1459"/>
      <c r="S235" s="1459"/>
      <c r="T235" s="1459"/>
      <c r="U235" s="1459"/>
      <c r="V235" s="1459"/>
      <c r="W235" s="1459"/>
      <c r="X235" s="1459"/>
      <c r="Y235" s="1459"/>
      <c r="Z235" s="1459"/>
      <c r="AA235" s="1459"/>
      <c r="AB235" s="1459"/>
      <c r="AC235" s="1459"/>
      <c r="AD235" s="1459"/>
      <c r="AE235" s="1459"/>
      <c r="AF235" s="1459"/>
      <c r="AG235" s="1459"/>
      <c r="AH235" s="1459"/>
      <c r="AI235" s="1459"/>
      <c r="AJ235" s="1459"/>
      <c r="AK235" s="1459"/>
      <c r="AL235" s="1459"/>
      <c r="AM235" s="1459"/>
      <c r="AN235" s="1459"/>
      <c r="AO235" s="1459"/>
      <c r="AP235" s="1459"/>
      <c r="AQ235" s="1459"/>
      <c r="AR235" s="1459"/>
      <c r="AS235" s="1459"/>
      <c r="AT235" s="1459"/>
      <c r="AU235" s="1459"/>
      <c r="AV235" s="1459"/>
      <c r="AW235" s="1459"/>
      <c r="AX235" s="1459"/>
      <c r="AY235" s="1459"/>
      <c r="AZ235" s="1459"/>
      <c r="BA235" s="1459"/>
      <c r="BB235" s="1459"/>
      <c r="BC235" s="1459"/>
      <c r="BD235" s="1459"/>
      <c r="BE235" s="1459"/>
      <c r="BF235" s="1459"/>
      <c r="BG235" s="1459"/>
      <c r="BH235" s="1459"/>
      <c r="BI235" s="1459"/>
      <c r="BJ235" s="1459"/>
      <c r="BK235" s="1459"/>
      <c r="BL235" s="1459"/>
    </row>
    <row r="236" spans="1:64">
      <c r="A236" s="1262" t="s">
        <v>141</v>
      </c>
      <c r="B236" s="981"/>
      <c r="C236" s="981"/>
      <c r="D236" s="1263">
        <f>SUM(D234:D235)</f>
        <v>0</v>
      </c>
      <c r="E236" s="1459"/>
      <c r="G236" s="981" t="s">
        <v>2329</v>
      </c>
      <c r="H236" s="1614">
        <f>IF(H$59&lt;H$58,E277,0)</f>
        <v>0</v>
      </c>
      <c r="J236" s="1459"/>
      <c r="K236" s="1459"/>
      <c r="L236" s="1459"/>
      <c r="M236" s="1459"/>
      <c r="N236" s="1459"/>
      <c r="O236" s="1459"/>
      <c r="P236" s="1459"/>
      <c r="Q236" s="1459"/>
      <c r="R236" s="1459"/>
      <c r="S236" s="1459"/>
      <c r="T236" s="1459"/>
      <c r="U236" s="1459"/>
      <c r="V236" s="1459"/>
      <c r="W236" s="1459"/>
      <c r="X236" s="1459"/>
      <c r="Y236" s="1459"/>
      <c r="Z236" s="1459"/>
      <c r="AA236" s="1459"/>
      <c r="AB236" s="1459"/>
      <c r="AC236" s="1459"/>
      <c r="AD236" s="1459"/>
      <c r="AE236" s="1459"/>
      <c r="AF236" s="1459"/>
      <c r="AG236" s="1459"/>
      <c r="AH236" s="1459"/>
      <c r="AI236" s="1459"/>
      <c r="AJ236" s="1459"/>
      <c r="AK236" s="1459"/>
      <c r="AL236" s="1459"/>
      <c r="AM236" s="1459"/>
      <c r="AN236" s="1459"/>
      <c r="AO236" s="1459"/>
      <c r="AP236" s="1459"/>
      <c r="AQ236" s="1459"/>
      <c r="AR236" s="1459"/>
      <c r="AS236" s="1459"/>
      <c r="AT236" s="1459"/>
      <c r="AU236" s="1459"/>
      <c r="AV236" s="1459"/>
      <c r="AW236" s="1459"/>
      <c r="AX236" s="1459"/>
      <c r="AY236" s="1459"/>
      <c r="AZ236" s="1459"/>
      <c r="BA236" s="1459"/>
      <c r="BB236" s="1459"/>
      <c r="BC236" s="1459"/>
      <c r="BD236" s="1459"/>
      <c r="BE236" s="1459"/>
      <c r="BF236" s="1459"/>
      <c r="BG236" s="1459"/>
      <c r="BH236" s="1459"/>
      <c r="BI236" s="1459"/>
      <c r="BJ236" s="1459"/>
      <c r="BK236" s="1459"/>
      <c r="BL236" s="1459"/>
    </row>
    <row r="237" spans="1:64">
      <c r="A237" s="981"/>
      <c r="B237" s="1616"/>
      <c r="C237" s="981"/>
      <c r="D237" s="981"/>
      <c r="E237" s="1459"/>
      <c r="G237" s="981"/>
      <c r="H237" s="637">
        <f>H235-H236</f>
        <v>0</v>
      </c>
      <c r="J237" s="1459"/>
      <c r="K237" s="1459"/>
      <c r="L237" s="1459"/>
      <c r="M237" s="1459"/>
      <c r="N237" s="1459"/>
      <c r="O237" s="1459"/>
      <c r="P237" s="1459"/>
      <c r="Q237" s="1459"/>
      <c r="R237" s="1459"/>
      <c r="S237" s="1459"/>
      <c r="T237" s="1459"/>
      <c r="U237" s="1459"/>
      <c r="V237" s="1459"/>
      <c r="W237" s="1459"/>
      <c r="X237" s="1459"/>
      <c r="Y237" s="1459"/>
      <c r="Z237" s="1459"/>
      <c r="AA237" s="1459"/>
      <c r="AB237" s="1459"/>
      <c r="AC237" s="1459"/>
      <c r="AD237" s="1459"/>
      <c r="AE237" s="1459"/>
      <c r="AF237" s="1459"/>
      <c r="AG237" s="1459"/>
      <c r="AH237" s="1459"/>
      <c r="AI237" s="1459"/>
      <c r="AJ237" s="1459"/>
      <c r="AK237" s="1459"/>
      <c r="AL237" s="1459"/>
      <c r="AM237" s="1459"/>
      <c r="AN237" s="1459"/>
      <c r="AO237" s="1459"/>
      <c r="AP237" s="1459"/>
      <c r="AQ237" s="1459"/>
      <c r="AR237" s="1459"/>
      <c r="AS237" s="1459"/>
      <c r="AT237" s="1459"/>
      <c r="AU237" s="1459"/>
      <c r="AV237" s="1459"/>
      <c r="AW237" s="1459"/>
      <c r="AX237" s="1459"/>
      <c r="AY237" s="1459"/>
      <c r="AZ237" s="1459"/>
      <c r="BA237" s="1459"/>
      <c r="BB237" s="1459"/>
      <c r="BC237" s="1459"/>
      <c r="BD237" s="1459"/>
      <c r="BE237" s="1459"/>
      <c r="BF237" s="1459"/>
      <c r="BG237" s="1459"/>
      <c r="BH237" s="1459"/>
      <c r="BI237" s="1459"/>
      <c r="BJ237" s="1459"/>
      <c r="BK237" s="1459"/>
      <c r="BL237" s="1459"/>
    </row>
    <row r="238" spans="1:64">
      <c r="A238" s="981"/>
      <c r="B238" s="637"/>
      <c r="C238" s="981"/>
      <c r="D238" s="637"/>
      <c r="E238" s="1459"/>
      <c r="G238" s="981" t="s">
        <v>2330</v>
      </c>
      <c r="H238" s="1615">
        <f>H237/6</f>
        <v>0</v>
      </c>
      <c r="J238" s="1459"/>
      <c r="K238" s="1459"/>
      <c r="L238" s="1459"/>
      <c r="M238" s="1459"/>
      <c r="N238" s="1459"/>
      <c r="O238" s="1459"/>
      <c r="P238" s="1459"/>
      <c r="Q238" s="1459"/>
      <c r="R238" s="1459"/>
      <c r="S238" s="1459"/>
      <c r="T238" s="1459"/>
      <c r="U238" s="1459"/>
      <c r="V238" s="1459"/>
      <c r="W238" s="1459"/>
      <c r="X238" s="1459"/>
      <c r="Y238" s="1459"/>
      <c r="Z238" s="1459"/>
      <c r="AA238" s="1459"/>
      <c r="AB238" s="1459"/>
      <c r="AC238" s="1459"/>
      <c r="AD238" s="1459"/>
      <c r="AE238" s="1459"/>
      <c r="AF238" s="1459"/>
      <c r="AG238" s="1459"/>
      <c r="AH238" s="1459"/>
      <c r="AI238" s="1459"/>
      <c r="AJ238" s="1459"/>
      <c r="AK238" s="1459"/>
      <c r="AL238" s="1459"/>
      <c r="AM238" s="1459"/>
      <c r="AN238" s="1459"/>
      <c r="AO238" s="1459"/>
      <c r="AP238" s="1459"/>
      <c r="AQ238" s="1459"/>
      <c r="AR238" s="1459"/>
      <c r="AS238" s="1459"/>
      <c r="AT238" s="1459"/>
      <c r="AU238" s="1459"/>
      <c r="AV238" s="1459"/>
      <c r="AW238" s="1459"/>
      <c r="AX238" s="1459"/>
      <c r="AY238" s="1459"/>
      <c r="AZ238" s="1459"/>
      <c r="BA238" s="1459"/>
      <c r="BB238" s="1459"/>
      <c r="BC238" s="1459"/>
      <c r="BD238" s="1459"/>
      <c r="BE238" s="1459"/>
      <c r="BF238" s="1459"/>
      <c r="BG238" s="1459"/>
      <c r="BH238" s="1459"/>
      <c r="BI238" s="1459"/>
      <c r="BJ238" s="1459"/>
      <c r="BK238" s="1459"/>
      <c r="BL238" s="1459"/>
    </row>
    <row r="239" spans="1:64">
      <c r="A239" s="981"/>
      <c r="B239" s="637"/>
      <c r="C239" s="981"/>
      <c r="D239" s="637"/>
      <c r="E239" s="1459"/>
      <c r="J239" s="1459"/>
      <c r="K239" s="1459"/>
      <c r="L239" s="1459"/>
      <c r="M239" s="1459"/>
      <c r="N239" s="1459"/>
      <c r="O239" s="1459"/>
      <c r="P239" s="1459"/>
      <c r="Q239" s="1459"/>
      <c r="R239" s="1459"/>
      <c r="S239" s="1459"/>
      <c r="T239" s="1459"/>
      <c r="U239" s="1459"/>
      <c r="V239" s="1459"/>
      <c r="W239" s="1459"/>
      <c r="X239" s="1459"/>
      <c r="Y239" s="1459"/>
      <c r="Z239" s="1459"/>
      <c r="AA239" s="1459"/>
      <c r="AB239" s="1459"/>
      <c r="AC239" s="1459"/>
      <c r="AD239" s="1459"/>
      <c r="AE239" s="1459"/>
      <c r="AF239" s="1459"/>
      <c r="AG239" s="1459"/>
      <c r="AH239" s="1459"/>
      <c r="AI239" s="1459"/>
      <c r="AJ239" s="1459"/>
      <c r="AK239" s="1459"/>
      <c r="AL239" s="1459"/>
      <c r="AM239" s="1459"/>
      <c r="AN239" s="1459"/>
      <c r="AO239" s="1459"/>
      <c r="AP239" s="1459"/>
      <c r="AQ239" s="1459"/>
      <c r="AR239" s="1459"/>
      <c r="AS239" s="1459"/>
      <c r="AT239" s="1459"/>
      <c r="AU239" s="1459"/>
      <c r="AV239" s="1459"/>
      <c r="AW239" s="1459"/>
      <c r="AX239" s="1459"/>
      <c r="AY239" s="1459"/>
      <c r="AZ239" s="1459"/>
      <c r="BA239" s="1459"/>
      <c r="BB239" s="1459"/>
      <c r="BC239" s="1459"/>
      <c r="BD239" s="1459"/>
      <c r="BE239" s="1459"/>
      <c r="BF239" s="1459"/>
      <c r="BG239" s="1459"/>
      <c r="BH239" s="1459"/>
      <c r="BI239" s="1459"/>
      <c r="BJ239" s="1459"/>
      <c r="BK239" s="1459"/>
      <c r="BL239" s="1459"/>
    </row>
    <row r="240" spans="1:64">
      <c r="A240" s="1262"/>
      <c r="B240" s="981"/>
      <c r="C240" s="981"/>
      <c r="D240" s="637"/>
      <c r="E240" s="1459"/>
      <c r="G240" s="1259" t="s">
        <v>148</v>
      </c>
      <c r="H240" s="981"/>
      <c r="J240" s="1459"/>
      <c r="K240" s="1459"/>
      <c r="L240" s="1459"/>
      <c r="M240" s="1459"/>
      <c r="N240" s="1459"/>
      <c r="O240" s="1459"/>
      <c r="P240" s="1459"/>
      <c r="Q240" s="1459"/>
      <c r="R240" s="1459"/>
      <c r="S240" s="1459"/>
      <c r="T240" s="1459"/>
      <c r="U240" s="1459"/>
      <c r="V240" s="1459"/>
      <c r="W240" s="1459"/>
      <c r="X240" s="1459"/>
      <c r="Y240" s="1459"/>
      <c r="Z240" s="1459"/>
      <c r="AA240" s="1459"/>
      <c r="AB240" s="1459"/>
      <c r="AC240" s="1459"/>
      <c r="AD240" s="1459"/>
      <c r="AE240" s="1459"/>
      <c r="AF240" s="1459"/>
      <c r="AG240" s="1459"/>
      <c r="AH240" s="1459"/>
      <c r="AI240" s="1459"/>
      <c r="AJ240" s="1459"/>
      <c r="AK240" s="1459"/>
      <c r="AL240" s="1459"/>
      <c r="AM240" s="1459"/>
      <c r="AN240" s="1459"/>
      <c r="AO240" s="1459"/>
      <c r="AP240" s="1459"/>
      <c r="AQ240" s="1459"/>
      <c r="AR240" s="1459"/>
      <c r="AS240" s="1459"/>
      <c r="AT240" s="1459"/>
      <c r="AU240" s="1459"/>
      <c r="AV240" s="1459"/>
      <c r="AW240" s="1459"/>
      <c r="AX240" s="1459"/>
      <c r="AY240" s="1459"/>
      <c r="AZ240" s="1459"/>
      <c r="BA240" s="1459"/>
      <c r="BB240" s="1459"/>
      <c r="BC240" s="1459"/>
      <c r="BD240" s="1459"/>
      <c r="BE240" s="1459"/>
      <c r="BF240" s="1459"/>
      <c r="BG240" s="1459"/>
      <c r="BH240" s="1459"/>
      <c r="BI240" s="1459"/>
      <c r="BJ240" s="1459"/>
      <c r="BK240" s="1459"/>
      <c r="BL240" s="1459"/>
    </row>
    <row r="241" spans="1:64">
      <c r="A241" s="981"/>
      <c r="B241" s="981"/>
      <c r="C241" s="981"/>
      <c r="D241" s="981"/>
      <c r="E241" s="1459"/>
      <c r="G241" s="981" t="s">
        <v>2328</v>
      </c>
      <c r="H241" s="637">
        <f>IF(I$59&lt;I$58,I$58,0)</f>
        <v>0</v>
      </c>
      <c r="J241" s="1459"/>
      <c r="K241" s="1459"/>
      <c r="L241" s="1459"/>
      <c r="M241" s="1459"/>
      <c r="N241" s="1459"/>
      <c r="O241" s="1459"/>
      <c r="P241" s="1459"/>
      <c r="Q241" s="1459"/>
      <c r="R241" s="1459"/>
      <c r="S241" s="1459"/>
      <c r="T241" s="1459"/>
      <c r="U241" s="1459"/>
      <c r="V241" s="1459"/>
      <c r="W241" s="1459"/>
      <c r="X241" s="1459"/>
      <c r="Y241" s="1459"/>
      <c r="Z241" s="1459"/>
      <c r="AA241" s="1459"/>
      <c r="AB241" s="1459"/>
      <c r="AC241" s="1459"/>
      <c r="AD241" s="1459"/>
      <c r="AE241" s="1459"/>
      <c r="AF241" s="1459"/>
      <c r="AG241" s="1459"/>
      <c r="AH241" s="1459"/>
      <c r="AI241" s="1459"/>
      <c r="AJ241" s="1459"/>
      <c r="AK241" s="1459"/>
      <c r="AL241" s="1459"/>
      <c r="AM241" s="1459"/>
      <c r="AN241" s="1459"/>
      <c r="AO241" s="1459"/>
      <c r="AP241" s="1459"/>
      <c r="AQ241" s="1459"/>
      <c r="AR241" s="1459"/>
      <c r="AS241" s="1459"/>
      <c r="AT241" s="1459"/>
      <c r="AU241" s="1459"/>
      <c r="AV241" s="1459"/>
      <c r="AW241" s="1459"/>
      <c r="AX241" s="1459"/>
      <c r="AY241" s="1459"/>
      <c r="AZ241" s="1459"/>
      <c r="BA241" s="1459"/>
      <c r="BB241" s="1459"/>
      <c r="BC241" s="1459"/>
      <c r="BD241" s="1459"/>
      <c r="BE241" s="1459"/>
      <c r="BF241" s="1459"/>
      <c r="BG241" s="1459"/>
      <c r="BH241" s="1459"/>
      <c r="BI241" s="1459"/>
      <c r="BJ241" s="1459"/>
      <c r="BK241" s="1459"/>
      <c r="BL241" s="1459"/>
    </row>
    <row r="242" spans="1:64">
      <c r="A242" s="1258"/>
      <c r="B242" s="1259"/>
      <c r="C242" s="981"/>
      <c r="D242" s="981"/>
      <c r="E242" s="1459"/>
      <c r="G242" s="981" t="s">
        <v>2329</v>
      </c>
      <c r="H242" s="1614">
        <f>IF(I$59&lt;I$58,E282,0)</f>
        <v>0</v>
      </c>
      <c r="J242" s="1459"/>
      <c r="K242" s="1459"/>
      <c r="L242" s="1459"/>
      <c r="M242" s="1459"/>
      <c r="N242" s="1459"/>
      <c r="O242" s="1459"/>
      <c r="P242" s="1459"/>
      <c r="Q242" s="1459"/>
      <c r="R242" s="1459"/>
      <c r="S242" s="1459"/>
      <c r="T242" s="1459"/>
      <c r="U242" s="1459"/>
      <c r="V242" s="1459"/>
      <c r="W242" s="1459"/>
      <c r="X242" s="1459"/>
      <c r="Y242" s="1459"/>
      <c r="Z242" s="1459"/>
      <c r="AA242" s="1459"/>
      <c r="AB242" s="1459"/>
      <c r="AC242" s="1459"/>
      <c r="AD242" s="1459"/>
      <c r="AE242" s="1459"/>
      <c r="AF242" s="1459"/>
      <c r="AG242" s="1459"/>
      <c r="AH242" s="1459"/>
      <c r="AI242" s="1459"/>
      <c r="AJ242" s="1459"/>
      <c r="AK242" s="1459"/>
      <c r="AL242" s="1459"/>
      <c r="AM242" s="1459"/>
      <c r="AN242" s="1459"/>
      <c r="AO242" s="1459"/>
      <c r="AP242" s="1459"/>
      <c r="AQ242" s="1459"/>
      <c r="AR242" s="1459"/>
      <c r="AS242" s="1459"/>
      <c r="AT242" s="1459"/>
      <c r="AU242" s="1459"/>
      <c r="AV242" s="1459"/>
      <c r="AW242" s="1459"/>
      <c r="AX242" s="1459"/>
      <c r="AY242" s="1459"/>
      <c r="AZ242" s="1459"/>
      <c r="BA242" s="1459"/>
      <c r="BB242" s="1459"/>
      <c r="BC242" s="1459"/>
      <c r="BD242" s="1459"/>
      <c r="BE242" s="1459"/>
      <c r="BF242" s="1459"/>
      <c r="BG242" s="1459"/>
      <c r="BH242" s="1459"/>
      <c r="BI242" s="1459"/>
      <c r="BJ242" s="1459"/>
      <c r="BK242" s="1459"/>
      <c r="BL242" s="1459"/>
    </row>
    <row r="243" spans="1:64">
      <c r="A243" s="981"/>
      <c r="B243" s="637"/>
      <c r="C243" s="981"/>
      <c r="D243" s="637"/>
      <c r="E243" s="1459"/>
      <c r="G243" s="981"/>
      <c r="H243" s="637">
        <f>H241-H242</f>
        <v>0</v>
      </c>
      <c r="J243" s="1459"/>
      <c r="K243" s="1459"/>
      <c r="L243" s="1459"/>
      <c r="M243" s="1459"/>
      <c r="N243" s="1459"/>
      <c r="O243" s="1459"/>
      <c r="P243" s="1459"/>
      <c r="Q243" s="1459"/>
      <c r="R243" s="1459"/>
      <c r="S243" s="1459"/>
      <c r="T243" s="1459"/>
      <c r="U243" s="1459"/>
      <c r="V243" s="1459"/>
      <c r="W243" s="1459"/>
      <c r="X243" s="1459"/>
      <c r="Y243" s="1459"/>
      <c r="Z243" s="1459"/>
      <c r="AA243" s="1459"/>
      <c r="AB243" s="1459"/>
      <c r="AC243" s="1459"/>
      <c r="AD243" s="1459"/>
      <c r="AE243" s="1459"/>
      <c r="AF243" s="1459"/>
      <c r="AG243" s="1459"/>
      <c r="AH243" s="1459"/>
      <c r="AI243" s="1459"/>
      <c r="AJ243" s="1459"/>
      <c r="AK243" s="1459"/>
      <c r="AL243" s="1459"/>
      <c r="AM243" s="1459"/>
      <c r="AN243" s="1459"/>
      <c r="AO243" s="1459"/>
      <c r="AP243" s="1459"/>
      <c r="AQ243" s="1459"/>
      <c r="AR243" s="1459"/>
      <c r="AS243" s="1459"/>
      <c r="AT243" s="1459"/>
      <c r="AU243" s="1459"/>
      <c r="AV243" s="1459"/>
      <c r="AW243" s="1459"/>
      <c r="AX243" s="1459"/>
      <c r="AY243" s="1459"/>
      <c r="AZ243" s="1459"/>
      <c r="BA243" s="1459"/>
      <c r="BB243" s="1459"/>
      <c r="BC243" s="1459"/>
      <c r="BD243" s="1459"/>
      <c r="BE243" s="1459"/>
      <c r="BF243" s="1459"/>
      <c r="BG243" s="1459"/>
      <c r="BH243" s="1459"/>
      <c r="BI243" s="1459"/>
      <c r="BJ243" s="1459"/>
      <c r="BK243" s="1459"/>
      <c r="BL243" s="1459"/>
    </row>
    <row r="244" spans="1:64">
      <c r="A244" s="981"/>
      <c r="B244" s="637"/>
      <c r="C244" s="981"/>
      <c r="D244" s="637"/>
      <c r="E244" s="1459"/>
      <c r="G244" s="981" t="s">
        <v>2330</v>
      </c>
      <c r="H244" s="1615">
        <f>H243/6</f>
        <v>0</v>
      </c>
      <c r="J244" s="1459"/>
      <c r="K244" s="1459"/>
      <c r="L244" s="1459"/>
      <c r="M244" s="1459"/>
      <c r="N244" s="1459"/>
      <c r="O244" s="1459"/>
      <c r="P244" s="1459"/>
      <c r="Q244" s="1459"/>
      <c r="R244" s="1459"/>
      <c r="S244" s="1459"/>
      <c r="T244" s="1459"/>
      <c r="U244" s="1459"/>
      <c r="V244" s="1459"/>
      <c r="W244" s="1459"/>
      <c r="X244" s="1459"/>
      <c r="Y244" s="1459"/>
      <c r="Z244" s="1459"/>
      <c r="AA244" s="1459"/>
      <c r="AB244" s="1459"/>
      <c r="AC244" s="1459"/>
      <c r="AD244" s="1459"/>
      <c r="AE244" s="1459"/>
      <c r="AF244" s="1459"/>
      <c r="AG244" s="1459"/>
      <c r="AH244" s="1459"/>
      <c r="AI244" s="1459"/>
      <c r="AJ244" s="1459"/>
      <c r="AK244" s="1459"/>
      <c r="AL244" s="1459"/>
      <c r="AM244" s="1459"/>
      <c r="AN244" s="1459"/>
      <c r="AO244" s="1459"/>
      <c r="AP244" s="1459"/>
      <c r="AQ244" s="1459"/>
      <c r="AR244" s="1459"/>
      <c r="AS244" s="1459"/>
      <c r="AT244" s="1459"/>
      <c r="AU244" s="1459"/>
      <c r="AV244" s="1459"/>
      <c r="AW244" s="1459"/>
      <c r="AX244" s="1459"/>
      <c r="AY244" s="1459"/>
      <c r="AZ244" s="1459"/>
      <c r="BA244" s="1459"/>
      <c r="BB244" s="1459"/>
      <c r="BC244" s="1459"/>
      <c r="BD244" s="1459"/>
      <c r="BE244" s="1459"/>
      <c r="BF244" s="1459"/>
      <c r="BG244" s="1459"/>
      <c r="BH244" s="1459"/>
      <c r="BI244" s="1459"/>
      <c r="BJ244" s="1459"/>
      <c r="BK244" s="1459"/>
      <c r="BL244" s="1459"/>
    </row>
    <row r="245" spans="1:64">
      <c r="A245" s="1262"/>
      <c r="B245" s="981"/>
      <c r="C245" s="981"/>
      <c r="D245" s="637"/>
      <c r="E245" s="1459"/>
      <c r="J245" s="1459"/>
      <c r="K245" s="1459"/>
      <c r="L245" s="1459"/>
      <c r="M245" s="1459"/>
      <c r="N245" s="1459"/>
      <c r="O245" s="1459"/>
      <c r="P245" s="1459"/>
      <c r="Q245" s="1459"/>
      <c r="R245" s="1459"/>
      <c r="S245" s="1459"/>
      <c r="T245" s="1459"/>
      <c r="U245" s="1459"/>
      <c r="V245" s="1459"/>
      <c r="W245" s="1459"/>
      <c r="X245" s="1459"/>
      <c r="Y245" s="1459"/>
      <c r="Z245" s="1459"/>
      <c r="AA245" s="1459"/>
      <c r="AB245" s="1459"/>
      <c r="AC245" s="1459"/>
      <c r="AD245" s="1459"/>
      <c r="AE245" s="1459"/>
      <c r="AF245" s="1459"/>
      <c r="AG245" s="1459"/>
      <c r="AH245" s="1459"/>
      <c r="AI245" s="1459"/>
      <c r="AJ245" s="1459"/>
      <c r="AK245" s="1459"/>
      <c r="AL245" s="1459"/>
      <c r="AM245" s="1459"/>
      <c r="AN245" s="1459"/>
      <c r="AO245" s="1459"/>
      <c r="AP245" s="1459"/>
      <c r="AQ245" s="1459"/>
      <c r="AR245" s="1459"/>
      <c r="AS245" s="1459"/>
      <c r="AT245" s="1459"/>
      <c r="AU245" s="1459"/>
      <c r="AV245" s="1459"/>
      <c r="AW245" s="1459"/>
      <c r="AX245" s="1459"/>
      <c r="AY245" s="1459"/>
      <c r="AZ245" s="1459"/>
      <c r="BA245" s="1459"/>
      <c r="BB245" s="1459"/>
      <c r="BC245" s="1459"/>
      <c r="BD245" s="1459"/>
      <c r="BE245" s="1459"/>
      <c r="BF245" s="1459"/>
      <c r="BG245" s="1459"/>
      <c r="BH245" s="1459"/>
      <c r="BI245" s="1459"/>
      <c r="BJ245" s="1459"/>
      <c r="BK245" s="1459"/>
      <c r="BL245" s="1459"/>
    </row>
    <row r="246" spans="1:64">
      <c r="A246" s="981"/>
      <c r="B246" s="981"/>
      <c r="C246" s="981"/>
      <c r="D246" s="981"/>
      <c r="E246" s="1459"/>
      <c r="J246" s="1459"/>
      <c r="K246" s="1459"/>
      <c r="L246" s="1459"/>
      <c r="M246" s="1459"/>
      <c r="N246" s="1459"/>
      <c r="O246" s="1459"/>
      <c r="P246" s="1459"/>
      <c r="Q246" s="1459"/>
      <c r="R246" s="1459"/>
      <c r="S246" s="1459"/>
      <c r="T246" s="1459"/>
      <c r="U246" s="1459"/>
      <c r="V246" s="1459"/>
      <c r="W246" s="1459"/>
      <c r="X246" s="1459"/>
      <c r="Y246" s="1459"/>
      <c r="Z246" s="1459"/>
      <c r="AA246" s="1459"/>
      <c r="AB246" s="1459"/>
      <c r="AC246" s="1459"/>
      <c r="AD246" s="1459"/>
      <c r="AE246" s="1459"/>
      <c r="AF246" s="1459"/>
      <c r="AG246" s="1459"/>
      <c r="AH246" s="1459"/>
      <c r="AI246" s="1459"/>
      <c r="AJ246" s="1459"/>
      <c r="AK246" s="1459"/>
      <c r="AL246" s="1459"/>
      <c r="AM246" s="1459"/>
      <c r="AN246" s="1459"/>
      <c r="AO246" s="1459"/>
      <c r="AP246" s="1459"/>
      <c r="AQ246" s="1459"/>
      <c r="AR246" s="1459"/>
      <c r="AS246" s="1459"/>
      <c r="AT246" s="1459"/>
      <c r="AU246" s="1459"/>
      <c r="AV246" s="1459"/>
      <c r="AW246" s="1459"/>
      <c r="AX246" s="1459"/>
      <c r="AY246" s="1459"/>
      <c r="AZ246" s="1459"/>
      <c r="BA246" s="1459"/>
      <c r="BB246" s="1459"/>
      <c r="BC246" s="1459"/>
      <c r="BD246" s="1459"/>
      <c r="BE246" s="1459"/>
      <c r="BF246" s="1459"/>
      <c r="BG246" s="1459"/>
      <c r="BH246" s="1459"/>
      <c r="BI246" s="1459"/>
      <c r="BJ246" s="1459"/>
      <c r="BK246" s="1459"/>
      <c r="BL246" s="1459"/>
    </row>
    <row r="247" spans="1:64">
      <c r="A247" s="1617" t="s">
        <v>2331</v>
      </c>
      <c r="B247" s="1618"/>
      <c r="C247" s="1618"/>
      <c r="D247" s="1618"/>
      <c r="E247" s="1459"/>
      <c r="F247" s="1612" t="s">
        <v>2332</v>
      </c>
      <c r="G247" s="1613"/>
      <c r="H247" s="1613"/>
      <c r="J247" s="1459"/>
      <c r="K247" s="1459"/>
      <c r="L247" s="1459"/>
      <c r="M247" s="1459"/>
      <c r="N247" s="1459"/>
      <c r="O247" s="1459"/>
      <c r="P247" s="1459"/>
      <c r="Q247" s="1459"/>
      <c r="R247" s="1459"/>
      <c r="S247" s="1459"/>
      <c r="T247" s="1459"/>
      <c r="U247" s="1459"/>
      <c r="V247" s="1459"/>
      <c r="W247" s="1459"/>
      <c r="X247" s="1459"/>
      <c r="Y247" s="1459"/>
      <c r="Z247" s="1459"/>
      <c r="AA247" s="1459"/>
      <c r="AB247" s="1459"/>
      <c r="AC247" s="1459"/>
      <c r="AD247" s="1459"/>
      <c r="AE247" s="1459"/>
      <c r="AF247" s="1459"/>
      <c r="AG247" s="1459"/>
      <c r="AH247" s="1459"/>
      <c r="AI247" s="1459"/>
      <c r="AJ247" s="1459"/>
      <c r="AK247" s="1459"/>
      <c r="AL247" s="1459"/>
      <c r="AM247" s="1459"/>
      <c r="AN247" s="1459"/>
      <c r="AO247" s="1459"/>
      <c r="AP247" s="1459"/>
      <c r="AQ247" s="1459"/>
      <c r="AR247" s="1459"/>
      <c r="AS247" s="1459"/>
      <c r="AT247" s="1459"/>
      <c r="AU247" s="1459"/>
      <c r="AV247" s="1459"/>
      <c r="AW247" s="1459"/>
      <c r="AX247" s="1459"/>
      <c r="AY247" s="1459"/>
      <c r="AZ247" s="1459"/>
      <c r="BA247" s="1459"/>
      <c r="BB247" s="1459"/>
      <c r="BC247" s="1459"/>
      <c r="BD247" s="1459"/>
      <c r="BE247" s="1459"/>
      <c r="BF247" s="1459"/>
      <c r="BG247" s="1459"/>
      <c r="BH247" s="1459"/>
      <c r="BI247" s="1459"/>
      <c r="BJ247" s="1459"/>
      <c r="BK247" s="1459"/>
      <c r="BL247" s="1459"/>
    </row>
    <row r="248" spans="1:64">
      <c r="A248" s="1258"/>
      <c r="B248" s="1259"/>
      <c r="C248" s="981"/>
      <c r="D248" s="981"/>
      <c r="E248" s="1459"/>
      <c r="J248" s="1459"/>
      <c r="K248" s="1459"/>
      <c r="L248" s="1459"/>
      <c r="M248" s="1459"/>
      <c r="N248" s="1459"/>
      <c r="O248" s="1459"/>
      <c r="P248" s="1459"/>
      <c r="Q248" s="1459"/>
      <c r="R248" s="1459"/>
      <c r="S248" s="1459"/>
      <c r="T248" s="1459"/>
      <c r="U248" s="1459"/>
      <c r="V248" s="1459"/>
      <c r="W248" s="1459"/>
      <c r="X248" s="1459"/>
      <c r="Y248" s="1459"/>
      <c r="Z248" s="1459"/>
      <c r="AA248" s="1459"/>
      <c r="AB248" s="1459"/>
      <c r="AC248" s="1459"/>
      <c r="AD248" s="1459"/>
      <c r="AE248" s="1459"/>
      <c r="AF248" s="1459"/>
      <c r="AG248" s="1459"/>
      <c r="AH248" s="1459"/>
      <c r="AI248" s="1459"/>
      <c r="AJ248" s="1459"/>
      <c r="AK248" s="1459"/>
      <c r="AL248" s="1459"/>
      <c r="AM248" s="1459"/>
      <c r="AN248" s="1459"/>
      <c r="AO248" s="1459"/>
      <c r="AP248" s="1459"/>
      <c r="AQ248" s="1459"/>
      <c r="AR248" s="1459"/>
      <c r="AS248" s="1459"/>
      <c r="AT248" s="1459"/>
      <c r="AU248" s="1459"/>
      <c r="AV248" s="1459"/>
      <c r="AW248" s="1459"/>
      <c r="AX248" s="1459"/>
      <c r="AY248" s="1459"/>
      <c r="AZ248" s="1459"/>
      <c r="BA248" s="1459"/>
      <c r="BB248" s="1459"/>
      <c r="BC248" s="1459"/>
      <c r="BD248" s="1459"/>
      <c r="BE248" s="1459"/>
      <c r="BF248" s="1459"/>
      <c r="BG248" s="1459"/>
      <c r="BH248" s="1459"/>
      <c r="BI248" s="1459"/>
      <c r="BJ248" s="1459"/>
      <c r="BK248" s="1459"/>
      <c r="BL248" s="1459"/>
    </row>
    <row r="249" spans="1:64">
      <c r="A249" s="1619" t="s">
        <v>2183</v>
      </c>
      <c r="B249" s="1620"/>
      <c r="C249" s="1621"/>
      <c r="D249" s="1442"/>
      <c r="E249" s="1622" t="s">
        <v>2333</v>
      </c>
      <c r="G249" s="1259" t="s">
        <v>142</v>
      </c>
      <c r="H249" s="981"/>
      <c r="J249" s="1459"/>
      <c r="K249" s="1459"/>
      <c r="L249" s="1459"/>
      <c r="M249" s="1459"/>
      <c r="N249" s="1459"/>
      <c r="O249" s="1459"/>
      <c r="P249" s="1459"/>
      <c r="Q249" s="1459"/>
      <c r="R249" s="1459"/>
      <c r="S249" s="1459"/>
      <c r="T249" s="1459"/>
      <c r="U249" s="1459"/>
      <c r="V249" s="1459"/>
      <c r="W249" s="1459"/>
      <c r="X249" s="1459"/>
      <c r="Y249" s="1459"/>
      <c r="Z249" s="1459"/>
      <c r="AA249" s="1459"/>
      <c r="AB249" s="1459"/>
      <c r="AC249" s="1459"/>
      <c r="AD249" s="1459"/>
      <c r="AE249" s="1459"/>
      <c r="AF249" s="1459"/>
      <c r="AG249" s="1459"/>
      <c r="AH249" s="1459"/>
      <c r="AI249" s="1459"/>
      <c r="AJ249" s="1459"/>
      <c r="AK249" s="1459"/>
      <c r="AL249" s="1459"/>
      <c r="AM249" s="1459"/>
      <c r="AN249" s="1459"/>
      <c r="AO249" s="1459"/>
      <c r="AP249" s="1459"/>
      <c r="AQ249" s="1459"/>
      <c r="AR249" s="1459"/>
      <c r="AS249" s="1459"/>
      <c r="AT249" s="1459"/>
      <c r="AU249" s="1459"/>
      <c r="AV249" s="1459"/>
      <c r="AW249" s="1459"/>
      <c r="AX249" s="1459"/>
      <c r="AY249" s="1459"/>
      <c r="AZ249" s="1459"/>
      <c r="BA249" s="1459"/>
      <c r="BB249" s="1459"/>
      <c r="BC249" s="1459"/>
      <c r="BD249" s="1459"/>
      <c r="BE249" s="1459"/>
      <c r="BF249" s="1459"/>
      <c r="BG249" s="1459"/>
      <c r="BH249" s="1459"/>
      <c r="BI249" s="1459"/>
      <c r="BJ249" s="1459"/>
      <c r="BK249" s="1459"/>
      <c r="BL249" s="1459"/>
    </row>
    <row r="250" spans="1:64">
      <c r="A250" s="1623" t="s">
        <v>2184</v>
      </c>
      <c r="B250" s="1249">
        <f>IF(AND(C$63=0,C$54+einmaligesEK!C14&lt;=100),0,IF(AND(C$63=0,C$54+einmaligesEK!C14&lt;=1000),C$54+einmaligesEK!C14-100,IF(AND(C$63=0,C$54+einmaligesEK!C14&gt;1000),1000-100,IF(AND(C$63&gt;0,C$54+C$63+einmaligesEK!C14&lt;=C$131),0,IF(AND(C$63&gt;0,C$63+C$54+einmaligesEK!C14&lt;=1000),C$63+C$54+einmaligesEK!C14-C$131,IF(AND(C$63&gt;0,C$63+C$54+einmaligesEK!C14&gt;1000),1000-C$131))))))</f>
        <v>0</v>
      </c>
      <c r="C250" s="869" t="s">
        <v>2185</v>
      </c>
      <c r="D250" s="1624">
        <f>B250*20/100</f>
        <v>0</v>
      </c>
      <c r="G250" s="981" t="s">
        <v>2328</v>
      </c>
      <c r="H250" s="637">
        <f>IF(C$73&lt;C$72,C$72,0)</f>
        <v>0</v>
      </c>
      <c r="J250" s="1459"/>
      <c r="K250" s="1459"/>
      <c r="L250" s="1459"/>
      <c r="M250" s="1459"/>
      <c r="N250" s="1459"/>
      <c r="O250" s="1459"/>
      <c r="P250" s="1459"/>
      <c r="Q250" s="1459"/>
      <c r="R250" s="1459"/>
      <c r="S250" s="1459"/>
      <c r="T250" s="1459"/>
      <c r="U250" s="1459"/>
      <c r="V250" s="1459"/>
      <c r="W250" s="1459"/>
      <c r="X250" s="1459"/>
      <c r="Y250" s="1459"/>
      <c r="Z250" s="1459"/>
      <c r="AA250" s="1459"/>
      <c r="AB250" s="1459"/>
      <c r="AC250" s="1459"/>
      <c r="AD250" s="1459"/>
      <c r="AE250" s="1459"/>
      <c r="AF250" s="1459"/>
      <c r="AG250" s="1459"/>
      <c r="AH250" s="1459"/>
      <c r="AI250" s="1459"/>
      <c r="AJ250" s="1459"/>
      <c r="AK250" s="1459"/>
      <c r="AL250" s="1459"/>
      <c r="AM250" s="1459"/>
      <c r="AN250" s="1459"/>
      <c r="AO250" s="1459"/>
      <c r="AP250" s="1459"/>
      <c r="AQ250" s="1459"/>
      <c r="AR250" s="1459"/>
      <c r="AS250" s="1459"/>
      <c r="AT250" s="1459"/>
      <c r="AU250" s="1459"/>
      <c r="AV250" s="1459"/>
      <c r="AW250" s="1459"/>
      <c r="AX250" s="1459"/>
      <c r="AY250" s="1459"/>
      <c r="AZ250" s="1459"/>
      <c r="BA250" s="1459"/>
      <c r="BB250" s="1459"/>
      <c r="BC250" s="1459"/>
      <c r="BD250" s="1459"/>
      <c r="BE250" s="1459"/>
      <c r="BF250" s="1459"/>
      <c r="BG250" s="1459"/>
      <c r="BH250" s="1459"/>
      <c r="BI250" s="1459"/>
      <c r="BJ250" s="1459"/>
      <c r="BK250" s="1459"/>
      <c r="BL250" s="1459"/>
    </row>
    <row r="251" spans="1:64">
      <c r="A251" s="1623" t="s">
        <v>2186</v>
      </c>
      <c r="B251" s="1249">
        <f>IF(C$54+einmaligesEK!C$14+C$63&lt;1000.01,0,IF(AND(C$54+einmaligesEK!C$14+C$63&gt;1000,C$54+einmaligesEK!C$14+C$63&lt;=1200),C$54+einmaligesEK!C$14+C$63-1000,IF(AND(C$54+einmaligesEK!C$14+C$63&gt;1200,C$8="ja",C$54+einmaligesEK!C$14+C$63&lt;=1500),C$54+einmaligesEK!C$14+C$63-1000,IF(AND(C$54+einmaligesEK!C$14+C$63&gt;1200,C$8="nein",C$54+einmaligesEK!C$14+C$63&lt;=1500),1200-1000,IF(AND(C$54+einmaligesEK!C$14+C$63&gt;=1500,C$8="ja"),1500-1000,IF(AND(C$54+einmaligesEK!C$14+C$63&gt;1500,C$8="nein"),1200-1000))))))</f>
        <v>0</v>
      </c>
      <c r="C251" s="869" t="s">
        <v>2187</v>
      </c>
      <c r="D251" s="1624">
        <f>B251*10/100</f>
        <v>0</v>
      </c>
      <c r="G251" s="981" t="s">
        <v>2317</v>
      </c>
      <c r="H251" s="1614">
        <f>IF(C$73&lt;C$72,einmaligesEK!C$12,0)</f>
        <v>0</v>
      </c>
      <c r="J251" s="1459"/>
      <c r="K251" s="1459"/>
      <c r="L251" s="1459"/>
      <c r="M251" s="1459"/>
      <c r="N251" s="1459"/>
      <c r="O251" s="1459"/>
      <c r="P251" s="1459"/>
      <c r="Q251" s="1459"/>
      <c r="R251" s="1459"/>
      <c r="S251" s="1459"/>
      <c r="T251" s="1459"/>
      <c r="U251" s="1459"/>
      <c r="V251" s="1459"/>
      <c r="W251" s="1459"/>
      <c r="X251" s="1459"/>
      <c r="Y251" s="1459"/>
      <c r="Z251" s="1459"/>
      <c r="AA251" s="1459"/>
      <c r="AB251" s="1459"/>
      <c r="AC251" s="1459"/>
      <c r="AD251" s="1459"/>
      <c r="AE251" s="1459"/>
      <c r="AF251" s="1459"/>
      <c r="AG251" s="1459"/>
      <c r="AH251" s="1459"/>
      <c r="AI251" s="1459"/>
      <c r="AJ251" s="1459"/>
      <c r="AK251" s="1459"/>
      <c r="AL251" s="1459"/>
      <c r="AM251" s="1459"/>
      <c r="AN251" s="1459"/>
      <c r="AO251" s="1459"/>
      <c r="AP251" s="1459"/>
      <c r="AQ251" s="1459"/>
      <c r="AR251" s="1459"/>
      <c r="AS251" s="1459"/>
      <c r="AT251" s="1459"/>
      <c r="AU251" s="1459"/>
      <c r="AV251" s="1459"/>
      <c r="AW251" s="1459"/>
      <c r="AX251" s="1459"/>
      <c r="AY251" s="1459"/>
      <c r="AZ251" s="1459"/>
      <c r="BA251" s="1459"/>
      <c r="BB251" s="1459"/>
      <c r="BC251" s="1459"/>
      <c r="BD251" s="1459"/>
      <c r="BE251" s="1459"/>
      <c r="BF251" s="1459"/>
      <c r="BG251" s="1459"/>
      <c r="BH251" s="1459"/>
      <c r="BI251" s="1459"/>
      <c r="BJ251" s="1459"/>
      <c r="BK251" s="1459"/>
      <c r="BL251" s="1459"/>
    </row>
    <row r="252" spans="1:64">
      <c r="A252" s="1625" t="s">
        <v>141</v>
      </c>
      <c r="B252" s="1445"/>
      <c r="C252" s="1445"/>
      <c r="D252" s="1626">
        <f>SUM(D250:D251)</f>
        <v>0</v>
      </c>
      <c r="E252" s="1627">
        <f>D252-D206</f>
        <v>0</v>
      </c>
      <c r="G252" s="981"/>
      <c r="H252" s="637">
        <f>H250-H251</f>
        <v>0</v>
      </c>
      <c r="J252" s="1459"/>
      <c r="K252" s="1459"/>
      <c r="L252" s="1459"/>
      <c r="M252" s="1459"/>
      <c r="N252" s="1459"/>
      <c r="O252" s="1459"/>
      <c r="P252" s="1459"/>
      <c r="Q252" s="1459"/>
      <c r="R252" s="1459"/>
      <c r="S252" s="1459"/>
      <c r="T252" s="1459"/>
      <c r="U252" s="1459"/>
      <c r="V252" s="1459"/>
      <c r="W252" s="1459"/>
      <c r="X252" s="1459"/>
      <c r="Y252" s="1459"/>
      <c r="Z252" s="1459"/>
      <c r="AA252" s="1459"/>
      <c r="AB252" s="1459"/>
      <c r="AC252" s="1459"/>
      <c r="AD252" s="1459"/>
      <c r="AE252" s="1459"/>
      <c r="AF252" s="1459"/>
      <c r="AG252" s="1459"/>
      <c r="AH252" s="1459"/>
      <c r="AI252" s="1459"/>
      <c r="AJ252" s="1459"/>
      <c r="AK252" s="1459"/>
      <c r="AL252" s="1459"/>
      <c r="AM252" s="1459"/>
      <c r="AN252" s="1459"/>
      <c r="AO252" s="1459"/>
      <c r="AP252" s="1459"/>
      <c r="AQ252" s="1459"/>
      <c r="AR252" s="1459"/>
      <c r="AS252" s="1459"/>
      <c r="AT252" s="1459"/>
      <c r="AU252" s="1459"/>
      <c r="AV252" s="1459"/>
      <c r="AW252" s="1459"/>
      <c r="AX252" s="1459"/>
      <c r="AY252" s="1459"/>
      <c r="AZ252" s="1459"/>
      <c r="BA252" s="1459"/>
      <c r="BB252" s="1459"/>
      <c r="BC252" s="1459"/>
      <c r="BD252" s="1459"/>
      <c r="BE252" s="1459"/>
      <c r="BF252" s="1459"/>
      <c r="BG252" s="1459"/>
      <c r="BH252" s="1459"/>
      <c r="BI252" s="1459"/>
      <c r="BJ252" s="1459"/>
      <c r="BK252" s="1459"/>
      <c r="BL252" s="1459"/>
    </row>
    <row r="253" spans="1:64">
      <c r="E253" s="1628"/>
      <c r="G253" s="981" t="s">
        <v>2330</v>
      </c>
      <c r="H253" s="1615">
        <f>H252/6</f>
        <v>0</v>
      </c>
      <c r="J253" s="1459"/>
      <c r="K253" s="1459"/>
      <c r="L253" s="1459"/>
      <c r="M253" s="1459"/>
      <c r="N253" s="1459"/>
      <c r="O253" s="1459"/>
      <c r="P253" s="1459"/>
      <c r="Q253" s="1459"/>
      <c r="R253" s="1459"/>
      <c r="S253" s="1459"/>
      <c r="T253" s="1459"/>
      <c r="U253" s="1459"/>
      <c r="V253" s="1459"/>
      <c r="W253" s="1459"/>
      <c r="X253" s="1459"/>
      <c r="Y253" s="1459"/>
      <c r="Z253" s="1459"/>
      <c r="AA253" s="1459"/>
      <c r="AB253" s="1459"/>
      <c r="AC253" s="1459"/>
      <c r="AD253" s="1459"/>
      <c r="AE253" s="1459"/>
      <c r="AF253" s="1459"/>
      <c r="AG253" s="1459"/>
      <c r="AH253" s="1459"/>
      <c r="AI253" s="1459"/>
      <c r="AJ253" s="1459"/>
      <c r="AK253" s="1459"/>
      <c r="AL253" s="1459"/>
      <c r="AM253" s="1459"/>
      <c r="AN253" s="1459"/>
      <c r="AO253" s="1459"/>
      <c r="AP253" s="1459"/>
      <c r="AQ253" s="1459"/>
      <c r="AR253" s="1459"/>
      <c r="AS253" s="1459"/>
      <c r="AT253" s="1459"/>
      <c r="AU253" s="1459"/>
      <c r="AV253" s="1459"/>
      <c r="AW253" s="1459"/>
      <c r="AX253" s="1459"/>
      <c r="AY253" s="1459"/>
      <c r="AZ253" s="1459"/>
      <c r="BA253" s="1459"/>
      <c r="BB253" s="1459"/>
      <c r="BC253" s="1459"/>
      <c r="BD253" s="1459"/>
      <c r="BE253" s="1459"/>
      <c r="BF253" s="1459"/>
      <c r="BG253" s="1459"/>
      <c r="BH253" s="1459"/>
      <c r="BI253" s="1459"/>
      <c r="BJ253" s="1459"/>
      <c r="BK253" s="1459"/>
      <c r="BL253" s="1459"/>
    </row>
    <row r="254" spans="1:64">
      <c r="A254" s="1619" t="s">
        <v>2188</v>
      </c>
      <c r="B254" s="1620"/>
      <c r="C254" s="1621"/>
      <c r="D254" s="1442"/>
      <c r="E254" s="1628"/>
      <c r="J254" s="1459"/>
      <c r="K254" s="1459"/>
      <c r="L254" s="1459"/>
      <c r="M254" s="1459"/>
      <c r="N254" s="1459"/>
      <c r="O254" s="1459"/>
      <c r="P254" s="1459"/>
      <c r="Q254" s="1459"/>
      <c r="R254" s="1459"/>
      <c r="S254" s="1459"/>
      <c r="T254" s="1459"/>
      <c r="U254" s="1459"/>
      <c r="V254" s="1459"/>
      <c r="W254" s="1459"/>
      <c r="X254" s="1459"/>
      <c r="Y254" s="1459"/>
      <c r="Z254" s="1459"/>
      <c r="AA254" s="1459"/>
      <c r="AB254" s="1459"/>
      <c r="AC254" s="1459"/>
      <c r="AD254" s="1459"/>
      <c r="AE254" s="1459"/>
      <c r="AF254" s="1459"/>
      <c r="AG254" s="1459"/>
      <c r="AH254" s="1459"/>
      <c r="AI254" s="1459"/>
      <c r="AJ254" s="1459"/>
      <c r="AK254" s="1459"/>
      <c r="AL254" s="1459"/>
      <c r="AM254" s="1459"/>
      <c r="AN254" s="1459"/>
      <c r="AO254" s="1459"/>
      <c r="AP254" s="1459"/>
      <c r="AQ254" s="1459"/>
      <c r="AR254" s="1459"/>
      <c r="AS254" s="1459"/>
      <c r="AT254" s="1459"/>
      <c r="AU254" s="1459"/>
      <c r="AV254" s="1459"/>
      <c r="AW254" s="1459"/>
      <c r="AX254" s="1459"/>
      <c r="AY254" s="1459"/>
      <c r="AZ254" s="1459"/>
      <c r="BA254" s="1459"/>
      <c r="BB254" s="1459"/>
      <c r="BC254" s="1459"/>
      <c r="BD254" s="1459"/>
      <c r="BE254" s="1459"/>
      <c r="BF254" s="1459"/>
      <c r="BG254" s="1459"/>
      <c r="BH254" s="1459"/>
      <c r="BI254" s="1459"/>
      <c r="BJ254" s="1459"/>
      <c r="BK254" s="1459"/>
      <c r="BL254" s="1459"/>
    </row>
    <row r="255" spans="1:64">
      <c r="A255" s="1623" t="s">
        <v>2184</v>
      </c>
      <c r="B255" s="1249">
        <f>IF(AND(D$63=0,D$54+einmaligesEK!D14&lt;=100),0,IF(AND(D$63=0,D$54+einmaligesEK!D14&lt;=1000),D$54+einmaligesEK!D14-100,IF(AND(D$63=0,D$54+einmaligesEK!D14&gt;1000),1000-100,IF(AND(D$63&gt;0,D$54+D$63+einmaligesEK!D14&lt;=D$131),0,IF(AND(D$63&gt;0,D$63+D$54+einmaligesEK!D14&lt;=1000),D$63+D$54+einmaligesEK!D14-D$131,IF(AND(D$63&gt;0,D$63+D$54+einmaligesEK!D14&gt;1000),1000-D$131))))))</f>
        <v>0</v>
      </c>
      <c r="C255" s="869" t="s">
        <v>2185</v>
      </c>
      <c r="D255" s="1624">
        <f>B255*20/100</f>
        <v>0</v>
      </c>
      <c r="E255" s="1628"/>
      <c r="G255" s="1259" t="s">
        <v>143</v>
      </c>
      <c r="H255" s="981"/>
      <c r="J255" s="1459"/>
      <c r="K255" s="1459"/>
      <c r="L255" s="1459"/>
      <c r="M255" s="1459"/>
      <c r="N255" s="1459"/>
      <c r="O255" s="1459"/>
      <c r="P255" s="1459"/>
      <c r="Q255" s="1459"/>
      <c r="R255" s="1459"/>
      <c r="S255" s="1459"/>
      <c r="T255" s="1459"/>
      <c r="U255" s="1459"/>
      <c r="V255" s="1459"/>
      <c r="W255" s="1459"/>
      <c r="X255" s="1459"/>
      <c r="Y255" s="1459"/>
      <c r="Z255" s="1459"/>
      <c r="AA255" s="1459"/>
      <c r="AB255" s="1459"/>
      <c r="AC255" s="1459"/>
      <c r="AD255" s="1459"/>
      <c r="AE255" s="1459"/>
      <c r="AF255" s="1459"/>
      <c r="AG255" s="1459"/>
      <c r="AH255" s="1459"/>
      <c r="AI255" s="1459"/>
      <c r="AJ255" s="1459"/>
      <c r="AK255" s="1459"/>
      <c r="AL255" s="1459"/>
      <c r="AM255" s="1459"/>
      <c r="AN255" s="1459"/>
      <c r="AO255" s="1459"/>
      <c r="AP255" s="1459"/>
      <c r="AQ255" s="1459"/>
      <c r="AR255" s="1459"/>
      <c r="AS255" s="1459"/>
      <c r="AT255" s="1459"/>
      <c r="AU255" s="1459"/>
      <c r="AV255" s="1459"/>
      <c r="AW255" s="1459"/>
      <c r="AX255" s="1459"/>
      <c r="AY255" s="1459"/>
      <c r="AZ255" s="1459"/>
      <c r="BA255" s="1459"/>
      <c r="BB255" s="1459"/>
      <c r="BC255" s="1459"/>
      <c r="BD255" s="1459"/>
      <c r="BE255" s="1459"/>
      <c r="BF255" s="1459"/>
      <c r="BG255" s="1459"/>
      <c r="BH255" s="1459"/>
      <c r="BI255" s="1459"/>
      <c r="BJ255" s="1459"/>
      <c r="BK255" s="1459"/>
      <c r="BL255" s="1459"/>
    </row>
    <row r="256" spans="1:64">
      <c r="A256" s="1623" t="s">
        <v>2186</v>
      </c>
      <c r="B256" s="1249">
        <f>IF(D$54+einmaligesEK!D$14+D$63&lt;1000.01,0,IF(AND(D$54+einmaligesEK!D$14+D$63&gt;1000,D$54+einmaligesEK!D$14+D$63&lt;=1200),D$54+einmaligesEK!D$14+D$63-1000,IF(AND(D$54+einmaligesEK!D$14+D$63&gt;1200,D$8="ja",D$54+einmaligesEK!D$14+D$63&lt;=1500),D$54+einmaligesEK!D$14+D$63-1000,IF(AND(D$54+einmaligesEK!D$14+D$63&gt;1200,D$8="nein",D$54+einmaligesEK!D$14+D$63&lt;=1500),1200-1000,IF(AND(D$54+einmaligesEK!D$14+D$63&gt;=1500,D$8="ja"),1500-1000,IF(AND(D$54+einmaligesEK!D$14+D$63&gt;1500,D$8="nein"),1200-1000))))))</f>
        <v>0</v>
      </c>
      <c r="C256" s="869" t="s">
        <v>2187</v>
      </c>
      <c r="D256" s="1624">
        <f>B256*10/100</f>
        <v>0</v>
      </c>
      <c r="E256" s="1628"/>
      <c r="G256" s="981" t="s">
        <v>2328</v>
      </c>
      <c r="H256" s="637">
        <f>IF(D$73&lt;D$72,D$72,0)</f>
        <v>0</v>
      </c>
      <c r="J256" s="1459"/>
      <c r="K256" s="1459"/>
      <c r="L256" s="1459"/>
      <c r="M256" s="1459"/>
      <c r="N256" s="1459"/>
      <c r="O256" s="1459"/>
      <c r="P256" s="1459"/>
      <c r="Q256" s="1459"/>
      <c r="R256" s="1459"/>
      <c r="S256" s="1459"/>
      <c r="T256" s="1459"/>
      <c r="U256" s="1459"/>
      <c r="V256" s="1459"/>
      <c r="W256" s="1459"/>
      <c r="X256" s="1459"/>
      <c r="Y256" s="1459"/>
      <c r="Z256" s="1459"/>
      <c r="AA256" s="1459"/>
      <c r="AB256" s="1459"/>
      <c r="AC256" s="1459"/>
      <c r="AD256" s="1459"/>
      <c r="AE256" s="1459"/>
      <c r="AF256" s="1459"/>
      <c r="AG256" s="1459"/>
      <c r="AH256" s="1459"/>
      <c r="AI256" s="1459"/>
      <c r="AJ256" s="1459"/>
      <c r="AK256" s="1459"/>
      <c r="AL256" s="1459"/>
      <c r="AM256" s="1459"/>
      <c r="AN256" s="1459"/>
      <c r="AO256" s="1459"/>
      <c r="AP256" s="1459"/>
      <c r="AQ256" s="1459"/>
      <c r="AR256" s="1459"/>
      <c r="AS256" s="1459"/>
      <c r="AT256" s="1459"/>
      <c r="AU256" s="1459"/>
      <c r="AV256" s="1459"/>
      <c r="AW256" s="1459"/>
      <c r="AX256" s="1459"/>
      <c r="AY256" s="1459"/>
      <c r="AZ256" s="1459"/>
      <c r="BA256" s="1459"/>
      <c r="BB256" s="1459"/>
      <c r="BC256" s="1459"/>
      <c r="BD256" s="1459"/>
      <c r="BE256" s="1459"/>
      <c r="BF256" s="1459"/>
      <c r="BG256" s="1459"/>
      <c r="BH256" s="1459"/>
      <c r="BI256" s="1459"/>
      <c r="BJ256" s="1459"/>
      <c r="BK256" s="1459"/>
      <c r="BL256" s="1459"/>
    </row>
    <row r="257" spans="1:64">
      <c r="A257" s="1625" t="s">
        <v>141</v>
      </c>
      <c r="B257" s="1445"/>
      <c r="C257" s="1445"/>
      <c r="D257" s="1626">
        <f>SUM(D255:D256)</f>
        <v>0</v>
      </c>
      <c r="E257" s="1627">
        <f>D257-D211</f>
        <v>0</v>
      </c>
      <c r="G257" s="981" t="s">
        <v>2317</v>
      </c>
      <c r="H257" s="1614">
        <f>IF(D$73&lt;D$72,einmaligesEK!D$12,0)</f>
        <v>0</v>
      </c>
      <c r="J257" s="1459"/>
      <c r="K257" s="1459"/>
      <c r="L257" s="1459"/>
      <c r="M257" s="1459"/>
      <c r="N257" s="1459"/>
      <c r="O257" s="1459"/>
      <c r="P257" s="1459"/>
      <c r="Q257" s="1459"/>
      <c r="R257" s="1459"/>
      <c r="S257" s="1459"/>
      <c r="T257" s="1459"/>
      <c r="U257" s="1459"/>
      <c r="V257" s="1459"/>
      <c r="W257" s="1459"/>
      <c r="X257" s="1459"/>
      <c r="Y257" s="1459"/>
      <c r="Z257" s="1459"/>
      <c r="AA257" s="1459"/>
      <c r="AB257" s="1459"/>
      <c r="AC257" s="1459"/>
      <c r="AD257" s="1459"/>
      <c r="AE257" s="1459"/>
      <c r="AF257" s="1459"/>
      <c r="AG257" s="1459"/>
      <c r="AH257" s="1459"/>
      <c r="AI257" s="1459"/>
      <c r="AJ257" s="1459"/>
      <c r="AK257" s="1459"/>
      <c r="AL257" s="1459"/>
      <c r="AM257" s="1459"/>
      <c r="AN257" s="1459"/>
      <c r="AO257" s="1459"/>
      <c r="AP257" s="1459"/>
      <c r="AQ257" s="1459"/>
      <c r="AR257" s="1459"/>
      <c r="AS257" s="1459"/>
      <c r="AT257" s="1459"/>
      <c r="AU257" s="1459"/>
      <c r="AV257" s="1459"/>
      <c r="AW257" s="1459"/>
      <c r="AX257" s="1459"/>
      <c r="AY257" s="1459"/>
      <c r="AZ257" s="1459"/>
      <c r="BA257" s="1459"/>
      <c r="BB257" s="1459"/>
      <c r="BC257" s="1459"/>
      <c r="BD257" s="1459"/>
      <c r="BE257" s="1459"/>
      <c r="BF257" s="1459"/>
      <c r="BG257" s="1459"/>
      <c r="BH257" s="1459"/>
      <c r="BI257" s="1459"/>
      <c r="BJ257" s="1459"/>
      <c r="BK257" s="1459"/>
      <c r="BL257" s="1459"/>
    </row>
    <row r="258" spans="1:64">
      <c r="E258" s="1628"/>
      <c r="G258" s="981"/>
      <c r="H258" s="637">
        <f>H256-H257</f>
        <v>0</v>
      </c>
      <c r="J258" s="1459"/>
      <c r="K258" s="1459"/>
      <c r="L258" s="1459"/>
      <c r="M258" s="1459"/>
      <c r="N258" s="1459"/>
      <c r="O258" s="1459"/>
      <c r="P258" s="1459"/>
      <c r="Q258" s="1459"/>
      <c r="R258" s="1459"/>
      <c r="S258" s="1459"/>
      <c r="T258" s="1459"/>
      <c r="U258" s="1459"/>
      <c r="V258" s="1459"/>
      <c r="W258" s="1459"/>
      <c r="X258" s="1459"/>
      <c r="Y258" s="1459"/>
      <c r="Z258" s="1459"/>
      <c r="AA258" s="1459"/>
      <c r="AB258" s="1459"/>
      <c r="AC258" s="1459"/>
      <c r="AD258" s="1459"/>
      <c r="AE258" s="1459"/>
      <c r="AF258" s="1459"/>
      <c r="AG258" s="1459"/>
      <c r="AH258" s="1459"/>
      <c r="AI258" s="1459"/>
      <c r="AJ258" s="1459"/>
      <c r="AK258" s="1459"/>
      <c r="AL258" s="1459"/>
      <c r="AM258" s="1459"/>
      <c r="AN258" s="1459"/>
      <c r="AO258" s="1459"/>
      <c r="AP258" s="1459"/>
      <c r="AQ258" s="1459"/>
      <c r="AR258" s="1459"/>
      <c r="AS258" s="1459"/>
      <c r="AT258" s="1459"/>
      <c r="AU258" s="1459"/>
      <c r="AV258" s="1459"/>
      <c r="AW258" s="1459"/>
      <c r="AX258" s="1459"/>
      <c r="AY258" s="1459"/>
      <c r="AZ258" s="1459"/>
      <c r="BA258" s="1459"/>
      <c r="BB258" s="1459"/>
      <c r="BC258" s="1459"/>
      <c r="BD258" s="1459"/>
      <c r="BE258" s="1459"/>
      <c r="BF258" s="1459"/>
      <c r="BG258" s="1459"/>
      <c r="BH258" s="1459"/>
      <c r="BI258" s="1459"/>
      <c r="BJ258" s="1459"/>
      <c r="BK258" s="1459"/>
      <c r="BL258" s="1459"/>
    </row>
    <row r="259" spans="1:64">
      <c r="A259" s="1619" t="s">
        <v>2189</v>
      </c>
      <c r="B259" s="1620"/>
      <c r="C259" s="1621"/>
      <c r="D259" s="1442"/>
      <c r="E259" s="1628"/>
      <c r="G259" s="981" t="s">
        <v>2330</v>
      </c>
      <c r="H259" s="1615">
        <f>H258/6</f>
        <v>0</v>
      </c>
      <c r="J259" s="1459"/>
      <c r="K259" s="1459"/>
      <c r="L259" s="1459"/>
      <c r="M259" s="1459"/>
      <c r="N259" s="1459"/>
      <c r="O259" s="1459"/>
      <c r="P259" s="1459"/>
      <c r="Q259" s="1459"/>
      <c r="R259" s="1459"/>
      <c r="S259" s="1459"/>
      <c r="T259" s="1459"/>
      <c r="U259" s="1459"/>
      <c r="V259" s="1459"/>
      <c r="W259" s="1459"/>
      <c r="X259" s="1459"/>
      <c r="Y259" s="1459"/>
      <c r="Z259" s="1459"/>
      <c r="AA259" s="1459"/>
      <c r="AB259" s="1459"/>
      <c r="AC259" s="1459"/>
      <c r="AD259" s="1459"/>
      <c r="AE259" s="1459"/>
      <c r="AF259" s="1459"/>
      <c r="AG259" s="1459"/>
      <c r="AH259" s="1459"/>
      <c r="AI259" s="1459"/>
      <c r="AJ259" s="1459"/>
      <c r="AK259" s="1459"/>
      <c r="AL259" s="1459"/>
      <c r="AM259" s="1459"/>
      <c r="AN259" s="1459"/>
      <c r="AO259" s="1459"/>
      <c r="AP259" s="1459"/>
      <c r="AQ259" s="1459"/>
      <c r="AR259" s="1459"/>
      <c r="AS259" s="1459"/>
      <c r="AT259" s="1459"/>
      <c r="AU259" s="1459"/>
      <c r="AV259" s="1459"/>
      <c r="AW259" s="1459"/>
      <c r="AX259" s="1459"/>
      <c r="AY259" s="1459"/>
      <c r="AZ259" s="1459"/>
      <c r="BA259" s="1459"/>
      <c r="BB259" s="1459"/>
      <c r="BC259" s="1459"/>
      <c r="BD259" s="1459"/>
      <c r="BE259" s="1459"/>
      <c r="BF259" s="1459"/>
      <c r="BG259" s="1459"/>
      <c r="BH259" s="1459"/>
      <c r="BI259" s="1459"/>
      <c r="BJ259" s="1459"/>
      <c r="BK259" s="1459"/>
      <c r="BL259" s="1459"/>
    </row>
    <row r="260" spans="1:64">
      <c r="A260" s="1623" t="s">
        <v>2184</v>
      </c>
      <c r="B260" s="1249">
        <f>IF(AND(E$63=0,E$54+einmaligesEK!E32&lt;=100),0,IF(AND(E$63=0,E$54+einmaligesEK!E32&lt;=1000),E$54+einmaligesEK!E32-100,IF(AND(E$63=0,E$54+einmaligesEK!E32&gt;1000),1000-100,IF(AND(E$63&gt;0,E$54+E$63+einmaligesEK!E32&lt;=E$131),0,IF(AND(E$63&gt;0,E$63+E$54+einmaligesEK!E32&lt;=1000),E$63+E$54+einmaligesEK!E32-E$131,IF(AND(E$63&gt;0,E$63+E$54+einmaligesEK!E32&gt;1000),1000-E$131))))))</f>
        <v>0</v>
      </c>
      <c r="C260" s="869" t="s">
        <v>2185</v>
      </c>
      <c r="D260" s="1624">
        <f>B260*20/100</f>
        <v>0</v>
      </c>
      <c r="E260" s="1628"/>
      <c r="J260" s="1459"/>
      <c r="K260" s="1459"/>
      <c r="L260" s="1459"/>
      <c r="M260" s="1459"/>
      <c r="N260" s="1459"/>
      <c r="O260" s="1459"/>
      <c r="P260" s="1459"/>
      <c r="Q260" s="1459"/>
      <c r="R260" s="1459"/>
      <c r="S260" s="1459"/>
      <c r="T260" s="1459"/>
      <c r="U260" s="1459"/>
      <c r="V260" s="1459"/>
      <c r="W260" s="1459"/>
      <c r="X260" s="1459"/>
      <c r="Y260" s="1459"/>
      <c r="Z260" s="1459"/>
      <c r="AA260" s="1459"/>
      <c r="AB260" s="1459"/>
      <c r="AC260" s="1459"/>
      <c r="AD260" s="1459"/>
      <c r="AE260" s="1459"/>
      <c r="AF260" s="1459"/>
      <c r="AG260" s="1459"/>
      <c r="AH260" s="1459"/>
      <c r="AI260" s="1459"/>
      <c r="AJ260" s="1459"/>
      <c r="AK260" s="1459"/>
      <c r="AL260" s="1459"/>
      <c r="AM260" s="1459"/>
      <c r="AN260" s="1459"/>
      <c r="AO260" s="1459"/>
      <c r="AP260" s="1459"/>
      <c r="AQ260" s="1459"/>
      <c r="AR260" s="1459"/>
      <c r="AS260" s="1459"/>
      <c r="AT260" s="1459"/>
      <c r="AU260" s="1459"/>
      <c r="AV260" s="1459"/>
      <c r="AW260" s="1459"/>
      <c r="AX260" s="1459"/>
      <c r="AY260" s="1459"/>
      <c r="AZ260" s="1459"/>
      <c r="BA260" s="1459"/>
      <c r="BB260" s="1459"/>
      <c r="BC260" s="1459"/>
      <c r="BD260" s="1459"/>
      <c r="BE260" s="1459"/>
      <c r="BF260" s="1459"/>
      <c r="BG260" s="1459"/>
      <c r="BH260" s="1459"/>
      <c r="BI260" s="1459"/>
      <c r="BJ260" s="1459"/>
      <c r="BK260" s="1459"/>
      <c r="BL260" s="1459"/>
    </row>
    <row r="261" spans="1:64">
      <c r="A261" s="1623" t="s">
        <v>2186</v>
      </c>
      <c r="B261" s="1249">
        <f>IF(E$54+einmaligesEK!E$14+E$63&lt;1000.01,0,IF(une(E$54+einmaligesEK!E$14+E$63&gt;1000,E$54+einmaligesEK!E$14+E$63&lt;=1200),E$54+einmaligesEK!E$14+E$63-1000,IF(une(E$54+einmaligesEK!E$14+E$63&gt;1200,E$8="ja",E$54+einmaligesEK!E$14+E$63&lt;=1500),E$54+einmaligesEK!E$14+E$63-1000,IF(une(E$54+einmaligesEK!E$14+E$63&gt;1200,E$8="nein",E$54+einmaligesEK!E$14+E$63&lt;=1500),1200-1000,IF(une(E$54+einmaligesEK!E$14+E$63&gt;=1500,E$8="ja"),1500-1000,IF(une(E$54+einmaligesEK!E$14+E$63&gt;1500,E$8="nein"),1200-1000))))))</f>
        <v>0</v>
      </c>
      <c r="C261" s="869" t="s">
        <v>2187</v>
      </c>
      <c r="D261" s="1624">
        <f>B261*10/100</f>
        <v>0</v>
      </c>
      <c r="E261" s="1628"/>
      <c r="G261" s="1259" t="s">
        <v>144</v>
      </c>
      <c r="H261" s="981"/>
      <c r="J261" s="1459"/>
      <c r="K261" s="1459"/>
      <c r="L261" s="1459"/>
      <c r="M261" s="1459"/>
      <c r="N261" s="1459"/>
      <c r="O261" s="1459"/>
      <c r="P261" s="1459"/>
      <c r="Q261" s="1459"/>
      <c r="R261" s="1459"/>
      <c r="S261" s="1459"/>
      <c r="T261" s="1459"/>
      <c r="U261" s="1459"/>
      <c r="V261" s="1459"/>
      <c r="W261" s="1459"/>
      <c r="X261" s="1459"/>
      <c r="Y261" s="1459"/>
      <c r="Z261" s="1459"/>
      <c r="AA261" s="1459"/>
      <c r="AB261" s="1459"/>
      <c r="AC261" s="1459"/>
      <c r="AD261" s="1459"/>
      <c r="AE261" s="1459"/>
      <c r="AF261" s="1459"/>
      <c r="AG261" s="1459"/>
      <c r="AH261" s="1459"/>
      <c r="AI261" s="1459"/>
      <c r="AJ261" s="1459"/>
      <c r="AK261" s="1459"/>
      <c r="AL261" s="1459"/>
      <c r="AM261" s="1459"/>
      <c r="AN261" s="1459"/>
      <c r="AO261" s="1459"/>
      <c r="AP261" s="1459"/>
      <c r="AQ261" s="1459"/>
      <c r="AR261" s="1459"/>
      <c r="AS261" s="1459"/>
      <c r="AT261" s="1459"/>
      <c r="AU261" s="1459"/>
      <c r="AV261" s="1459"/>
      <c r="AW261" s="1459"/>
      <c r="AX261" s="1459"/>
      <c r="AY261" s="1459"/>
      <c r="AZ261" s="1459"/>
      <c r="BA261" s="1459"/>
      <c r="BB261" s="1459"/>
      <c r="BC261" s="1459"/>
      <c r="BD261" s="1459"/>
      <c r="BE261" s="1459"/>
      <c r="BF261" s="1459"/>
      <c r="BG261" s="1459"/>
      <c r="BH261" s="1459"/>
      <c r="BI261" s="1459"/>
      <c r="BJ261" s="1459"/>
      <c r="BK261" s="1459"/>
      <c r="BL261" s="1459"/>
    </row>
    <row r="262" spans="1:64">
      <c r="A262" s="1625" t="s">
        <v>141</v>
      </c>
      <c r="B262" s="1445"/>
      <c r="C262" s="1445"/>
      <c r="D262" s="1626">
        <f>SUM(D260:D261)</f>
        <v>0</v>
      </c>
      <c r="E262" s="1627">
        <f>D262-D216</f>
        <v>0</v>
      </c>
      <c r="G262" s="981" t="s">
        <v>2328</v>
      </c>
      <c r="H262" s="637">
        <f>IF(E$73&lt;E$72,E$72,0)</f>
        <v>0</v>
      </c>
      <c r="J262" s="1459"/>
      <c r="K262" s="1459"/>
      <c r="L262" s="1459"/>
      <c r="M262" s="1459"/>
      <c r="N262" s="1459"/>
      <c r="O262" s="1459"/>
      <c r="P262" s="1459"/>
      <c r="Q262" s="1459"/>
      <c r="R262" s="1459"/>
      <c r="S262" s="1459"/>
      <c r="T262" s="1459"/>
      <c r="U262" s="1459"/>
      <c r="V262" s="1459"/>
      <c r="W262" s="1459"/>
      <c r="X262" s="1459"/>
      <c r="Y262" s="1459"/>
      <c r="Z262" s="1459"/>
      <c r="AA262" s="1459"/>
      <c r="AB262" s="1459"/>
      <c r="AC262" s="1459"/>
      <c r="AD262" s="1459"/>
      <c r="AE262" s="1459"/>
      <c r="AF262" s="1459"/>
      <c r="AG262" s="1459"/>
      <c r="AH262" s="1459"/>
      <c r="AI262" s="1459"/>
      <c r="AJ262" s="1459"/>
      <c r="AK262" s="1459"/>
      <c r="AL262" s="1459"/>
      <c r="AM262" s="1459"/>
      <c r="AN262" s="1459"/>
      <c r="AO262" s="1459"/>
      <c r="AP262" s="1459"/>
      <c r="AQ262" s="1459"/>
      <c r="AR262" s="1459"/>
      <c r="AS262" s="1459"/>
      <c r="AT262" s="1459"/>
      <c r="AU262" s="1459"/>
      <c r="AV262" s="1459"/>
      <c r="AW262" s="1459"/>
      <c r="AX262" s="1459"/>
      <c r="AY262" s="1459"/>
      <c r="AZ262" s="1459"/>
      <c r="BA262" s="1459"/>
      <c r="BB262" s="1459"/>
      <c r="BC262" s="1459"/>
      <c r="BD262" s="1459"/>
      <c r="BE262" s="1459"/>
      <c r="BF262" s="1459"/>
      <c r="BG262" s="1459"/>
      <c r="BH262" s="1459"/>
      <c r="BI262" s="1459"/>
      <c r="BJ262" s="1459"/>
      <c r="BK262" s="1459"/>
      <c r="BL262" s="1459"/>
    </row>
    <row r="263" spans="1:64">
      <c r="E263" s="1628"/>
      <c r="G263" s="981" t="s">
        <v>2317</v>
      </c>
      <c r="H263" s="1614">
        <f>IF(E$73&lt;E$72,einmaligesEK!E$12,0)</f>
        <v>0</v>
      </c>
      <c r="J263" s="1459"/>
      <c r="K263" s="1459"/>
      <c r="L263" s="1459"/>
      <c r="M263" s="1459"/>
      <c r="N263" s="1459"/>
      <c r="O263" s="1459"/>
      <c r="P263" s="1459"/>
      <c r="Q263" s="1459"/>
      <c r="R263" s="1459"/>
      <c r="S263" s="1459"/>
      <c r="T263" s="1459"/>
      <c r="U263" s="1459"/>
      <c r="V263" s="1459"/>
      <c r="W263" s="1459"/>
      <c r="X263" s="1459"/>
      <c r="Y263" s="1459"/>
      <c r="Z263" s="1459"/>
      <c r="AA263" s="1459"/>
      <c r="AB263" s="1459"/>
      <c r="AC263" s="1459"/>
      <c r="AD263" s="1459"/>
      <c r="AE263" s="1459"/>
      <c r="AF263" s="1459"/>
      <c r="AG263" s="1459"/>
      <c r="AH263" s="1459"/>
      <c r="AI263" s="1459"/>
      <c r="AJ263" s="1459"/>
      <c r="AK263" s="1459"/>
      <c r="AL263" s="1459"/>
      <c r="AM263" s="1459"/>
      <c r="AN263" s="1459"/>
      <c r="AO263" s="1459"/>
      <c r="AP263" s="1459"/>
      <c r="AQ263" s="1459"/>
      <c r="AR263" s="1459"/>
      <c r="AS263" s="1459"/>
      <c r="AT263" s="1459"/>
      <c r="AU263" s="1459"/>
      <c r="AV263" s="1459"/>
      <c r="AW263" s="1459"/>
      <c r="AX263" s="1459"/>
      <c r="AY263" s="1459"/>
      <c r="AZ263" s="1459"/>
      <c r="BA263" s="1459"/>
      <c r="BB263" s="1459"/>
      <c r="BC263" s="1459"/>
      <c r="BD263" s="1459"/>
      <c r="BE263" s="1459"/>
      <c r="BF263" s="1459"/>
      <c r="BG263" s="1459"/>
      <c r="BH263" s="1459"/>
      <c r="BI263" s="1459"/>
      <c r="BJ263" s="1459"/>
      <c r="BK263" s="1459"/>
      <c r="BL263" s="1459"/>
    </row>
    <row r="264" spans="1:64">
      <c r="A264" s="1619" t="s">
        <v>2190</v>
      </c>
      <c r="B264" s="1620"/>
      <c r="C264" s="1621"/>
      <c r="D264" s="1442"/>
      <c r="E264" s="1628"/>
      <c r="G264" s="981"/>
      <c r="H264" s="637">
        <f>H262-H263</f>
        <v>0</v>
      </c>
      <c r="J264" s="1459"/>
      <c r="K264" s="1459"/>
      <c r="L264" s="1459"/>
      <c r="M264" s="1459"/>
      <c r="N264" s="1459"/>
      <c r="O264" s="1459"/>
      <c r="P264" s="1459"/>
      <c r="Q264" s="1459"/>
      <c r="R264" s="1459"/>
      <c r="S264" s="1459"/>
      <c r="T264" s="1459"/>
      <c r="U264" s="1459"/>
      <c r="V264" s="1459"/>
      <c r="W264" s="1459"/>
      <c r="X264" s="1459"/>
      <c r="Y264" s="1459"/>
      <c r="Z264" s="1459"/>
      <c r="AA264" s="1459"/>
      <c r="AB264" s="1459"/>
      <c r="AC264" s="1459"/>
      <c r="AD264" s="1459"/>
      <c r="AE264" s="1459"/>
      <c r="AF264" s="1459"/>
      <c r="AG264" s="1459"/>
      <c r="AH264" s="1459"/>
      <c r="AI264" s="1459"/>
      <c r="AJ264" s="1459"/>
      <c r="AK264" s="1459"/>
      <c r="AL264" s="1459"/>
      <c r="AM264" s="1459"/>
      <c r="AN264" s="1459"/>
      <c r="AO264" s="1459"/>
      <c r="AP264" s="1459"/>
      <c r="AQ264" s="1459"/>
      <c r="AR264" s="1459"/>
      <c r="AS264" s="1459"/>
      <c r="AT264" s="1459"/>
      <c r="AU264" s="1459"/>
      <c r="AV264" s="1459"/>
      <c r="AW264" s="1459"/>
      <c r="AX264" s="1459"/>
      <c r="AY264" s="1459"/>
      <c r="AZ264" s="1459"/>
      <c r="BA264" s="1459"/>
      <c r="BB264" s="1459"/>
      <c r="BC264" s="1459"/>
      <c r="BD264" s="1459"/>
      <c r="BE264" s="1459"/>
      <c r="BF264" s="1459"/>
      <c r="BG264" s="1459"/>
      <c r="BH264" s="1459"/>
      <c r="BI264" s="1459"/>
      <c r="BJ264" s="1459"/>
      <c r="BK264" s="1459"/>
      <c r="BL264" s="1459"/>
    </row>
    <row r="265" spans="1:64">
      <c r="A265" s="1623" t="s">
        <v>2184</v>
      </c>
      <c r="B265" s="1249">
        <f>IF(AND(F$63=0,F$54+einmaligesEK!G35&lt;=100),0,IF(AND(F$63=0,F$54+einmaligesEK!G35&lt;=1000),F$54+einmaligesEK!G35-100,IF(AND(F$63=0,F$54+einmaligesEK!G35&gt;1000),1000-100,IF(AND(F$63&gt;0,F$54+F$63+einmaligesEK!G35&lt;=F$131),0,IF(AND(F$63&gt;0,F$63+F$54+einmaligesEK!G35&lt;=1000),F$63+F$54+einmaligesEK!G35-F$131,IF(AND(F$63&gt;0,F$63+F$54+einmaligesEK!G35&gt;1000),1000-F$131))))))</f>
        <v>0</v>
      </c>
      <c r="C265" s="869" t="s">
        <v>2185</v>
      </c>
      <c r="D265" s="1624">
        <f>B265*20/100</f>
        <v>0</v>
      </c>
      <c r="E265" s="1628"/>
      <c r="G265" s="981" t="s">
        <v>2330</v>
      </c>
      <c r="H265" s="1615">
        <f>H264/6</f>
        <v>0</v>
      </c>
      <c r="J265" s="1459"/>
      <c r="K265" s="1459"/>
      <c r="L265" s="1459"/>
      <c r="M265" s="1459"/>
      <c r="N265" s="1459"/>
      <c r="O265" s="1459"/>
      <c r="P265" s="1459"/>
      <c r="Q265" s="1459"/>
      <c r="R265" s="1459"/>
      <c r="S265" s="1459"/>
      <c r="T265" s="1459"/>
      <c r="U265" s="1459"/>
      <c r="V265" s="1459"/>
      <c r="W265" s="1459"/>
      <c r="X265" s="1459"/>
      <c r="Y265" s="1459"/>
      <c r="Z265" s="1459"/>
      <c r="AA265" s="1459"/>
      <c r="AB265" s="1459"/>
      <c r="AC265" s="1459"/>
      <c r="AD265" s="1459"/>
      <c r="AE265" s="1459"/>
      <c r="AF265" s="1459"/>
      <c r="AG265" s="1459"/>
      <c r="AH265" s="1459"/>
      <c r="AI265" s="1459"/>
      <c r="AJ265" s="1459"/>
      <c r="AK265" s="1459"/>
      <c r="AL265" s="1459"/>
      <c r="AM265" s="1459"/>
      <c r="AN265" s="1459"/>
      <c r="AO265" s="1459"/>
      <c r="AP265" s="1459"/>
      <c r="AQ265" s="1459"/>
      <c r="AR265" s="1459"/>
      <c r="AS265" s="1459"/>
      <c r="AT265" s="1459"/>
      <c r="AU265" s="1459"/>
      <c r="AV265" s="1459"/>
      <c r="AW265" s="1459"/>
      <c r="AX265" s="1459"/>
      <c r="AY265" s="1459"/>
      <c r="AZ265" s="1459"/>
      <c r="BA265" s="1459"/>
      <c r="BB265" s="1459"/>
      <c r="BC265" s="1459"/>
      <c r="BD265" s="1459"/>
      <c r="BE265" s="1459"/>
      <c r="BF265" s="1459"/>
      <c r="BG265" s="1459"/>
      <c r="BH265" s="1459"/>
      <c r="BI265" s="1459"/>
      <c r="BJ265" s="1459"/>
      <c r="BK265" s="1459"/>
      <c r="BL265" s="1459"/>
    </row>
    <row r="266" spans="1:64">
      <c r="A266" s="1623" t="s">
        <v>2186</v>
      </c>
      <c r="B266" s="1249">
        <f>IF(F$54+einmaligesEK!F$14+F$63&lt;1000.01,0,IF(unf(F$54+einmaligesEK!F$14+F$63&gt;1000,F$54+einmaligesEK!F$14+F$63&lt;=1200),F$54+einmaligesEK!F$14+F$63-1000,IF(unf(F$54+einmaligesEK!F$14+F$63&gt;1200,F$8="ja",F$54+einmaligesEK!F$14+F$63&lt;=1500),F$54+einmaligesEK!F$14+F$63-1000,IF(unf(F$54+einmaligesEK!F$14+F$63&gt;1200,F$8="nein",F$54+einmaligesEK!F$14+F$63&lt;=1500),1200-1000,IF(unf(F$54+einmaligesEK!F$14+F$63&gt;=1500,F$8="ja"),1500-1000,IF(unf(F$54+einmaligesEK!F$14+F$63&gt;1500,F$8="nein"),1200-1000))))))</f>
        <v>0</v>
      </c>
      <c r="C266" s="869" t="s">
        <v>2187</v>
      </c>
      <c r="D266" s="1624">
        <f>B266*10/100</f>
        <v>0</v>
      </c>
      <c r="E266" s="1628"/>
      <c r="J266" s="1459"/>
      <c r="K266" s="1459"/>
      <c r="L266" s="1459"/>
      <c r="M266" s="1459"/>
      <c r="N266" s="1459"/>
      <c r="O266" s="1459"/>
      <c r="P266" s="1459"/>
      <c r="Q266" s="1459"/>
      <c r="R266" s="1459"/>
      <c r="S266" s="1459"/>
      <c r="T266" s="1459"/>
      <c r="U266" s="1459"/>
      <c r="V266" s="1459"/>
      <c r="W266" s="1459"/>
      <c r="X266" s="1459"/>
      <c r="Y266" s="1459"/>
      <c r="Z266" s="1459"/>
      <c r="AA266" s="1459"/>
      <c r="AB266" s="1459"/>
      <c r="AC266" s="1459"/>
      <c r="AD266" s="1459"/>
      <c r="AE266" s="1459"/>
      <c r="AF266" s="1459"/>
      <c r="AG266" s="1459"/>
      <c r="AH266" s="1459"/>
      <c r="AI266" s="1459"/>
      <c r="AJ266" s="1459"/>
      <c r="AK266" s="1459"/>
      <c r="AL266" s="1459"/>
      <c r="AM266" s="1459"/>
      <c r="AN266" s="1459"/>
      <c r="AO266" s="1459"/>
      <c r="AP266" s="1459"/>
      <c r="AQ266" s="1459"/>
      <c r="AR266" s="1459"/>
      <c r="AS266" s="1459"/>
      <c r="AT266" s="1459"/>
      <c r="AU266" s="1459"/>
      <c r="AV266" s="1459"/>
      <c r="AW266" s="1459"/>
      <c r="AX266" s="1459"/>
      <c r="AY266" s="1459"/>
      <c r="AZ266" s="1459"/>
      <c r="BA266" s="1459"/>
      <c r="BB266" s="1459"/>
      <c r="BC266" s="1459"/>
      <c r="BD266" s="1459"/>
      <c r="BE266" s="1459"/>
      <c r="BF266" s="1459"/>
      <c r="BG266" s="1459"/>
      <c r="BH266" s="1459"/>
      <c r="BI266" s="1459"/>
      <c r="BJ266" s="1459"/>
      <c r="BK266" s="1459"/>
      <c r="BL266" s="1459"/>
    </row>
    <row r="267" spans="1:64">
      <c r="A267" s="1625" t="s">
        <v>141</v>
      </c>
      <c r="B267" s="1445"/>
      <c r="C267" s="1445"/>
      <c r="D267" s="1626">
        <f>SUM(D265:D266)</f>
        <v>0</v>
      </c>
      <c r="E267" s="1627">
        <f>D267-D221</f>
        <v>0</v>
      </c>
      <c r="G267" s="1259" t="s">
        <v>145</v>
      </c>
      <c r="H267" s="981"/>
      <c r="J267" s="1459"/>
      <c r="K267" s="1459"/>
      <c r="L267" s="1459"/>
      <c r="M267" s="1459"/>
      <c r="N267" s="1459"/>
      <c r="O267" s="1459"/>
      <c r="P267" s="1459"/>
      <c r="Q267" s="1459"/>
      <c r="R267" s="1459"/>
      <c r="S267" s="1459"/>
      <c r="T267" s="1459"/>
      <c r="U267" s="1459"/>
      <c r="V267" s="1459"/>
      <c r="W267" s="1459"/>
      <c r="X267" s="1459"/>
      <c r="Y267" s="1459"/>
      <c r="Z267" s="1459"/>
      <c r="AA267" s="1459"/>
      <c r="AB267" s="1459"/>
      <c r="AC267" s="1459"/>
      <c r="AD267" s="1459"/>
      <c r="AE267" s="1459"/>
      <c r="AF267" s="1459"/>
      <c r="AG267" s="1459"/>
      <c r="AH267" s="1459"/>
      <c r="AI267" s="1459"/>
      <c r="AJ267" s="1459"/>
      <c r="AK267" s="1459"/>
      <c r="AL267" s="1459"/>
      <c r="AM267" s="1459"/>
      <c r="AN267" s="1459"/>
      <c r="AO267" s="1459"/>
      <c r="AP267" s="1459"/>
      <c r="AQ267" s="1459"/>
      <c r="AR267" s="1459"/>
      <c r="AS267" s="1459"/>
      <c r="AT267" s="1459"/>
      <c r="AU267" s="1459"/>
      <c r="AV267" s="1459"/>
      <c r="AW267" s="1459"/>
      <c r="AX267" s="1459"/>
      <c r="AY267" s="1459"/>
      <c r="AZ267" s="1459"/>
      <c r="BA267" s="1459"/>
      <c r="BB267" s="1459"/>
      <c r="BC267" s="1459"/>
      <c r="BD267" s="1459"/>
      <c r="BE267" s="1459"/>
      <c r="BF267" s="1459"/>
      <c r="BG267" s="1459"/>
      <c r="BH267" s="1459"/>
      <c r="BI267" s="1459"/>
      <c r="BJ267" s="1459"/>
      <c r="BK267" s="1459"/>
      <c r="BL267" s="1459"/>
    </row>
    <row r="268" spans="1:64">
      <c r="E268" s="1628"/>
      <c r="G268" s="981" t="s">
        <v>2328</v>
      </c>
      <c r="H268" s="637">
        <f>IF(F$73&lt;F$72,F$72,0)</f>
        <v>0</v>
      </c>
      <c r="J268" s="1459"/>
      <c r="K268" s="1459"/>
      <c r="L268" s="1459"/>
      <c r="M268" s="1459"/>
      <c r="N268" s="1459"/>
      <c r="O268" s="1459"/>
      <c r="P268" s="1459"/>
      <c r="Q268" s="1459"/>
      <c r="R268" s="1459"/>
      <c r="S268" s="1459"/>
      <c r="T268" s="1459"/>
      <c r="U268" s="1459"/>
      <c r="V268" s="1459"/>
      <c r="W268" s="1459"/>
      <c r="X268" s="1459"/>
      <c r="Y268" s="1459"/>
      <c r="Z268" s="1459"/>
      <c r="AA268" s="1459"/>
      <c r="AB268" s="1459"/>
      <c r="AC268" s="1459"/>
      <c r="AD268" s="1459"/>
      <c r="AE268" s="1459"/>
      <c r="AF268" s="1459"/>
      <c r="AG268" s="1459"/>
      <c r="AH268" s="1459"/>
      <c r="AI268" s="1459"/>
      <c r="AJ268" s="1459"/>
      <c r="AK268" s="1459"/>
      <c r="AL268" s="1459"/>
      <c r="AM268" s="1459"/>
      <c r="AN268" s="1459"/>
      <c r="AO268" s="1459"/>
      <c r="AP268" s="1459"/>
      <c r="AQ268" s="1459"/>
      <c r="AR268" s="1459"/>
      <c r="AS268" s="1459"/>
      <c r="AT268" s="1459"/>
      <c r="AU268" s="1459"/>
      <c r="AV268" s="1459"/>
      <c r="AW268" s="1459"/>
      <c r="AX268" s="1459"/>
      <c r="AY268" s="1459"/>
      <c r="AZ268" s="1459"/>
      <c r="BA268" s="1459"/>
      <c r="BB268" s="1459"/>
      <c r="BC268" s="1459"/>
      <c r="BD268" s="1459"/>
      <c r="BE268" s="1459"/>
      <c r="BF268" s="1459"/>
      <c r="BG268" s="1459"/>
      <c r="BH268" s="1459"/>
      <c r="BI268" s="1459"/>
      <c r="BJ268" s="1459"/>
      <c r="BK268" s="1459"/>
      <c r="BL268" s="1459"/>
    </row>
    <row r="269" spans="1:64">
      <c r="A269" s="1619" t="s">
        <v>2191</v>
      </c>
      <c r="B269" s="1620"/>
      <c r="C269" s="1621"/>
      <c r="D269" s="1442"/>
      <c r="E269" s="1628"/>
      <c r="G269" s="981" t="s">
        <v>2317</v>
      </c>
      <c r="H269" s="1614">
        <f>IF(F$73&lt;F$72,einmaligesEK!F$12,0)</f>
        <v>0</v>
      </c>
      <c r="J269" s="1459"/>
      <c r="K269" s="1459"/>
      <c r="L269" s="1459"/>
      <c r="M269" s="1459"/>
      <c r="N269" s="1459"/>
      <c r="O269" s="1459"/>
      <c r="P269" s="1459"/>
      <c r="Q269" s="1459"/>
      <c r="R269" s="1459"/>
      <c r="S269" s="1459"/>
      <c r="T269" s="1459"/>
      <c r="U269" s="1459"/>
      <c r="V269" s="1459"/>
      <c r="W269" s="1459"/>
      <c r="X269" s="1459"/>
      <c r="Y269" s="1459"/>
      <c r="Z269" s="1459"/>
      <c r="AA269" s="1459"/>
      <c r="AB269" s="1459"/>
      <c r="AC269" s="1459"/>
      <c r="AD269" s="1459"/>
      <c r="AE269" s="1459"/>
      <c r="AF269" s="1459"/>
      <c r="AG269" s="1459"/>
      <c r="AH269" s="1459"/>
      <c r="AI269" s="1459"/>
      <c r="AJ269" s="1459"/>
      <c r="AK269" s="1459"/>
      <c r="AL269" s="1459"/>
      <c r="AM269" s="1459"/>
      <c r="AN269" s="1459"/>
      <c r="AO269" s="1459"/>
      <c r="AP269" s="1459"/>
      <c r="AQ269" s="1459"/>
      <c r="AR269" s="1459"/>
      <c r="AS269" s="1459"/>
      <c r="AT269" s="1459"/>
      <c r="AU269" s="1459"/>
      <c r="AV269" s="1459"/>
      <c r="AW269" s="1459"/>
      <c r="AX269" s="1459"/>
      <c r="AY269" s="1459"/>
      <c r="AZ269" s="1459"/>
      <c r="BA269" s="1459"/>
      <c r="BB269" s="1459"/>
      <c r="BC269" s="1459"/>
      <c r="BD269" s="1459"/>
      <c r="BE269" s="1459"/>
      <c r="BF269" s="1459"/>
      <c r="BG269" s="1459"/>
      <c r="BH269" s="1459"/>
      <c r="BI269" s="1459"/>
      <c r="BJ269" s="1459"/>
      <c r="BK269" s="1459"/>
      <c r="BL269" s="1459"/>
    </row>
    <row r="270" spans="1:64">
      <c r="A270" s="1623" t="s">
        <v>2184</v>
      </c>
      <c r="B270" s="1249">
        <f>IF(AND(G$63=0,G$54+einmaligesEK!H39&lt;=100),0,IF(AND(G$63=0,G$54+einmaligesEK!H39&lt;=1000),G$54+einmaligesEK!H39-100,IF(AND(G$63=0,G$54+einmaligesEK!H39&gt;1000),1000-100,IF(AND(G$63&gt;0,G$54+G$63+einmaligesEK!H39&lt;=G$131),0,IF(AND(G$63&gt;0,G$63+G$54+einmaligesEK!H39&lt;=1000),G$63+G$54+einmaligesEK!H39-G$131,IF(AND(G$63&gt;0,G$63+G$54+einmaligesEK!H39&gt;1000),1000-G$131))))))</f>
        <v>0</v>
      </c>
      <c r="C270" s="869" t="s">
        <v>2185</v>
      </c>
      <c r="D270" s="1624">
        <f>B270*20/100</f>
        <v>0</v>
      </c>
      <c r="E270" s="1628"/>
      <c r="G270" s="981"/>
      <c r="H270" s="637">
        <f>H268-H269</f>
        <v>0</v>
      </c>
      <c r="J270" s="1459"/>
      <c r="K270" s="1459"/>
      <c r="L270" s="1459"/>
      <c r="M270" s="1459"/>
      <c r="N270" s="1459"/>
      <c r="O270" s="1459"/>
      <c r="P270" s="1459"/>
      <c r="Q270" s="1459"/>
      <c r="R270" s="1459"/>
      <c r="S270" s="1459"/>
      <c r="T270" s="1459"/>
      <c r="U270" s="1459"/>
      <c r="V270" s="1459"/>
      <c r="W270" s="1459"/>
      <c r="X270" s="1459"/>
      <c r="Y270" s="1459"/>
      <c r="Z270" s="1459"/>
      <c r="AA270" s="1459"/>
      <c r="AB270" s="1459"/>
      <c r="AC270" s="1459"/>
      <c r="AD270" s="1459"/>
      <c r="AE270" s="1459"/>
      <c r="AF270" s="1459"/>
      <c r="AG270" s="1459"/>
      <c r="AH270" s="1459"/>
      <c r="AI270" s="1459"/>
      <c r="AJ270" s="1459"/>
      <c r="AK270" s="1459"/>
      <c r="AL270" s="1459"/>
      <c r="AM270" s="1459"/>
      <c r="AN270" s="1459"/>
      <c r="AO270" s="1459"/>
      <c r="AP270" s="1459"/>
      <c r="AQ270" s="1459"/>
      <c r="AR270" s="1459"/>
      <c r="AS270" s="1459"/>
      <c r="AT270" s="1459"/>
      <c r="AU270" s="1459"/>
      <c r="AV270" s="1459"/>
      <c r="AW270" s="1459"/>
      <c r="AX270" s="1459"/>
      <c r="AY270" s="1459"/>
      <c r="AZ270" s="1459"/>
      <c r="BA270" s="1459"/>
      <c r="BB270" s="1459"/>
      <c r="BC270" s="1459"/>
      <c r="BD270" s="1459"/>
      <c r="BE270" s="1459"/>
      <c r="BF270" s="1459"/>
      <c r="BG270" s="1459"/>
      <c r="BH270" s="1459"/>
      <c r="BI270" s="1459"/>
      <c r="BJ270" s="1459"/>
      <c r="BK270" s="1459"/>
      <c r="BL270" s="1459"/>
    </row>
    <row r="271" spans="1:64">
      <c r="A271" s="1623" t="s">
        <v>2186</v>
      </c>
      <c r="B271" s="1249">
        <f>IF(G$54+einmaligesEK!G$14+G$63&lt;1000.01,0,IF(ung(G$54+einmaligesEK!G$14+G$63&gt;1000,G$54+einmaligesEK!G$14+G$63&lt;=1200),G$54+einmaligesEK!G$14+G$63-1000,IF(ung(G$54+einmaligesEK!G$14+G$63&gt;1200,G$8="ja",G$54+einmaligesEK!G$14+G$63&lt;=1500),G$54+einmaligesEK!G$14+G$63-1000,IF(ung(G$54+einmaligesEK!G$14+G$63&gt;1200,G$8="nein",G$54+einmaligesEK!G$14+G$63&lt;=1500),1200-1000,IF(ung(G$54+einmaligesEK!G$14+G$63&gt;=1500,G$8="ja"),1500-1000,IF(ung(G$54+einmaligesEK!G$14+G$63&gt;1500,G$8="nein"),1200-1000))))))</f>
        <v>0</v>
      </c>
      <c r="C271" s="869" t="s">
        <v>2187</v>
      </c>
      <c r="D271" s="1624">
        <f>B271*10/100</f>
        <v>0</v>
      </c>
      <c r="E271" s="1628"/>
      <c r="G271" s="981" t="s">
        <v>2330</v>
      </c>
      <c r="H271" s="1615">
        <f>H270/6</f>
        <v>0</v>
      </c>
      <c r="J271" s="1459"/>
      <c r="K271" s="1459"/>
      <c r="L271" s="1459"/>
      <c r="M271" s="1459"/>
      <c r="N271" s="1459"/>
      <c r="O271" s="1459"/>
      <c r="P271" s="1459"/>
      <c r="Q271" s="1459"/>
      <c r="R271" s="1459"/>
      <c r="S271" s="1459"/>
      <c r="T271" s="1459"/>
      <c r="U271" s="1459"/>
      <c r="V271" s="1459"/>
      <c r="W271" s="1459"/>
      <c r="X271" s="1459"/>
      <c r="Y271" s="1459"/>
      <c r="Z271" s="1459"/>
      <c r="AA271" s="1459"/>
      <c r="AB271" s="1459"/>
      <c r="AC271" s="1459"/>
      <c r="AD271" s="1459"/>
      <c r="AE271" s="1459"/>
      <c r="AF271" s="1459"/>
      <c r="AG271" s="1459"/>
      <c r="AH271" s="1459"/>
      <c r="AI271" s="1459"/>
      <c r="AJ271" s="1459"/>
      <c r="AK271" s="1459"/>
      <c r="AL271" s="1459"/>
      <c r="AM271" s="1459"/>
      <c r="AN271" s="1459"/>
      <c r="AO271" s="1459"/>
      <c r="AP271" s="1459"/>
      <c r="AQ271" s="1459"/>
      <c r="AR271" s="1459"/>
      <c r="AS271" s="1459"/>
      <c r="AT271" s="1459"/>
      <c r="AU271" s="1459"/>
      <c r="AV271" s="1459"/>
      <c r="AW271" s="1459"/>
      <c r="AX271" s="1459"/>
      <c r="AY271" s="1459"/>
      <c r="AZ271" s="1459"/>
      <c r="BA271" s="1459"/>
      <c r="BB271" s="1459"/>
      <c r="BC271" s="1459"/>
      <c r="BD271" s="1459"/>
      <c r="BE271" s="1459"/>
      <c r="BF271" s="1459"/>
      <c r="BG271" s="1459"/>
      <c r="BH271" s="1459"/>
      <c r="BI271" s="1459"/>
      <c r="BJ271" s="1459"/>
      <c r="BK271" s="1459"/>
      <c r="BL271" s="1459"/>
    </row>
    <row r="272" spans="1:64">
      <c r="A272" s="1625" t="s">
        <v>141</v>
      </c>
      <c r="B272" s="1445"/>
      <c r="C272" s="1445"/>
      <c r="D272" s="1626">
        <f>SUM(D270:D271)</f>
        <v>0</v>
      </c>
      <c r="E272" s="1627">
        <f>D272-D226</f>
        <v>0</v>
      </c>
      <c r="J272" s="1459"/>
      <c r="K272" s="1459"/>
      <c r="L272" s="1459"/>
      <c r="M272" s="1459"/>
      <c r="N272" s="1459"/>
      <c r="O272" s="1459"/>
      <c r="P272" s="1459"/>
      <c r="Q272" s="1459"/>
      <c r="R272" s="1459"/>
      <c r="S272" s="1459"/>
      <c r="T272" s="1459"/>
      <c r="U272" s="1459"/>
      <c r="V272" s="1459"/>
      <c r="W272" s="1459"/>
      <c r="X272" s="1459"/>
      <c r="Y272" s="1459"/>
      <c r="Z272" s="1459"/>
      <c r="AA272" s="1459"/>
      <c r="AB272" s="1459"/>
      <c r="AC272" s="1459"/>
      <c r="AD272" s="1459"/>
      <c r="AE272" s="1459"/>
      <c r="AF272" s="1459"/>
      <c r="AG272" s="1459"/>
      <c r="AH272" s="1459"/>
      <c r="AI272" s="1459"/>
      <c r="AJ272" s="1459"/>
      <c r="AK272" s="1459"/>
      <c r="AL272" s="1459"/>
      <c r="AM272" s="1459"/>
      <c r="AN272" s="1459"/>
      <c r="AO272" s="1459"/>
      <c r="AP272" s="1459"/>
      <c r="AQ272" s="1459"/>
      <c r="AR272" s="1459"/>
      <c r="AS272" s="1459"/>
      <c r="AT272" s="1459"/>
      <c r="AU272" s="1459"/>
      <c r="AV272" s="1459"/>
      <c r="AW272" s="1459"/>
      <c r="AX272" s="1459"/>
      <c r="AY272" s="1459"/>
      <c r="AZ272" s="1459"/>
      <c r="BA272" s="1459"/>
      <c r="BB272" s="1459"/>
      <c r="BC272" s="1459"/>
      <c r="BD272" s="1459"/>
      <c r="BE272" s="1459"/>
      <c r="BF272" s="1459"/>
      <c r="BG272" s="1459"/>
      <c r="BH272" s="1459"/>
      <c r="BI272" s="1459"/>
      <c r="BJ272" s="1459"/>
      <c r="BK272" s="1459"/>
      <c r="BL272" s="1459"/>
    </row>
    <row r="273" spans="1:64">
      <c r="E273" s="1628"/>
      <c r="G273" s="1259" t="s">
        <v>146</v>
      </c>
      <c r="H273" s="981"/>
      <c r="J273" s="1459"/>
      <c r="K273" s="1459"/>
      <c r="L273" s="1459"/>
      <c r="M273" s="1459"/>
      <c r="N273" s="1459"/>
      <c r="O273" s="1459"/>
      <c r="P273" s="1459"/>
      <c r="Q273" s="1459"/>
      <c r="R273" s="1459"/>
      <c r="S273" s="1459"/>
      <c r="T273" s="1459"/>
      <c r="U273" s="1459"/>
      <c r="V273" s="1459"/>
      <c r="W273" s="1459"/>
      <c r="X273" s="1459"/>
      <c r="Y273" s="1459"/>
      <c r="Z273" s="1459"/>
      <c r="AA273" s="1459"/>
      <c r="AB273" s="1459"/>
      <c r="AC273" s="1459"/>
      <c r="AD273" s="1459"/>
      <c r="AE273" s="1459"/>
      <c r="AF273" s="1459"/>
      <c r="AG273" s="1459"/>
      <c r="AH273" s="1459"/>
      <c r="AI273" s="1459"/>
      <c r="AJ273" s="1459"/>
      <c r="AK273" s="1459"/>
      <c r="AL273" s="1459"/>
      <c r="AM273" s="1459"/>
      <c r="AN273" s="1459"/>
      <c r="AO273" s="1459"/>
      <c r="AP273" s="1459"/>
      <c r="AQ273" s="1459"/>
      <c r="AR273" s="1459"/>
      <c r="AS273" s="1459"/>
      <c r="AT273" s="1459"/>
      <c r="AU273" s="1459"/>
      <c r="AV273" s="1459"/>
      <c r="AW273" s="1459"/>
      <c r="AX273" s="1459"/>
      <c r="AY273" s="1459"/>
      <c r="AZ273" s="1459"/>
      <c r="BA273" s="1459"/>
      <c r="BB273" s="1459"/>
      <c r="BC273" s="1459"/>
      <c r="BD273" s="1459"/>
      <c r="BE273" s="1459"/>
      <c r="BF273" s="1459"/>
      <c r="BG273" s="1459"/>
      <c r="BH273" s="1459"/>
      <c r="BI273" s="1459"/>
      <c r="BJ273" s="1459"/>
      <c r="BK273" s="1459"/>
      <c r="BL273" s="1459"/>
    </row>
    <row r="274" spans="1:64">
      <c r="A274" s="1619" t="s">
        <v>2192</v>
      </c>
      <c r="B274" s="1620"/>
      <c r="C274" s="1621"/>
      <c r="D274" s="1442"/>
      <c r="E274" s="1628"/>
      <c r="G274" s="981" t="s">
        <v>2328</v>
      </c>
      <c r="H274" s="637">
        <f>IF(G$73&lt;G$72,G$72,0)</f>
        <v>0</v>
      </c>
      <c r="J274" s="1459"/>
      <c r="K274" s="1459"/>
      <c r="L274" s="1459"/>
      <c r="M274" s="1459"/>
      <c r="N274" s="1459"/>
      <c r="O274" s="1459"/>
      <c r="P274" s="1459"/>
      <c r="Q274" s="1459"/>
      <c r="R274" s="1459"/>
      <c r="S274" s="1459"/>
      <c r="T274" s="1459"/>
      <c r="U274" s="1459"/>
      <c r="V274" s="1459"/>
      <c r="W274" s="1459"/>
      <c r="X274" s="1459"/>
      <c r="Y274" s="1459"/>
      <c r="Z274" s="1459"/>
      <c r="AA274" s="1459"/>
      <c r="AB274" s="1459"/>
      <c r="AC274" s="1459"/>
      <c r="AD274" s="1459"/>
      <c r="AE274" s="1459"/>
      <c r="AF274" s="1459"/>
      <c r="AG274" s="1459"/>
      <c r="AH274" s="1459"/>
      <c r="AI274" s="1459"/>
      <c r="AJ274" s="1459"/>
      <c r="AK274" s="1459"/>
      <c r="AL274" s="1459"/>
      <c r="AM274" s="1459"/>
      <c r="AN274" s="1459"/>
      <c r="AO274" s="1459"/>
      <c r="AP274" s="1459"/>
      <c r="AQ274" s="1459"/>
      <c r="AR274" s="1459"/>
      <c r="AS274" s="1459"/>
      <c r="AT274" s="1459"/>
      <c r="AU274" s="1459"/>
      <c r="AV274" s="1459"/>
      <c r="AW274" s="1459"/>
      <c r="AX274" s="1459"/>
      <c r="AY274" s="1459"/>
      <c r="AZ274" s="1459"/>
      <c r="BA274" s="1459"/>
      <c r="BB274" s="1459"/>
      <c r="BC274" s="1459"/>
      <c r="BD274" s="1459"/>
      <c r="BE274" s="1459"/>
      <c r="BF274" s="1459"/>
      <c r="BG274" s="1459"/>
      <c r="BH274" s="1459"/>
      <c r="BI274" s="1459"/>
      <c r="BJ274" s="1459"/>
      <c r="BK274" s="1459"/>
      <c r="BL274" s="1459"/>
    </row>
    <row r="275" spans="1:64">
      <c r="A275" s="1623" t="s">
        <v>2184</v>
      </c>
      <c r="B275" s="1249">
        <f>IF(AND(H$63=0,H$54+einmaligesEK!H44&lt;=100),0,IF(AND(H$63=0,H$54+einmaligesEK!H44&lt;=1000),H$54+einmaligesEK!H44-100,IF(AND(H$63=0,H$54+einmaligesEK!H44&gt;1000),1000-100,IF(AND(H$63&gt;0,H$54+H$63+einmaligesEK!H44&lt;=H$131),0,IF(AND(H$63&gt;0,H$63+H$54+einmaligesEK!H44&lt;=1000),H$63+H$54+einmaligesEK!H44-H$131,IF(AND(H$63&gt;0,H$63+H$54+einmaligesEK!H44&gt;1000),1000-H$131))))))</f>
        <v>0</v>
      </c>
      <c r="C275" s="869" t="s">
        <v>2185</v>
      </c>
      <c r="D275" s="1624">
        <f>B275*20/100</f>
        <v>0</v>
      </c>
      <c r="E275" s="1628"/>
      <c r="G275" s="981" t="s">
        <v>2317</v>
      </c>
      <c r="H275" s="1614">
        <f>IF(G$73&lt;G$72,einmaligesEK!G$12,0)</f>
        <v>0</v>
      </c>
      <c r="J275" s="1459"/>
      <c r="K275" s="1459"/>
      <c r="L275" s="1459"/>
      <c r="M275" s="1459"/>
      <c r="N275" s="1459"/>
      <c r="O275" s="1459"/>
      <c r="P275" s="1459"/>
      <c r="Q275" s="1459"/>
      <c r="R275" s="1459"/>
      <c r="S275" s="1459"/>
      <c r="T275" s="1459"/>
      <c r="U275" s="1459"/>
      <c r="V275" s="1459"/>
      <c r="W275" s="1459"/>
      <c r="X275" s="1459"/>
      <c r="Y275" s="1459"/>
      <c r="Z275" s="1459"/>
      <c r="AA275" s="1459"/>
      <c r="AB275" s="1459"/>
      <c r="AC275" s="1459"/>
      <c r="AD275" s="1459"/>
      <c r="AE275" s="1459"/>
      <c r="AF275" s="1459"/>
      <c r="AG275" s="1459"/>
      <c r="AH275" s="1459"/>
      <c r="AI275" s="1459"/>
      <c r="AJ275" s="1459"/>
      <c r="AK275" s="1459"/>
      <c r="AL275" s="1459"/>
      <c r="AM275" s="1459"/>
      <c r="AN275" s="1459"/>
      <c r="AO275" s="1459"/>
      <c r="AP275" s="1459"/>
      <c r="AQ275" s="1459"/>
      <c r="AR275" s="1459"/>
      <c r="AS275" s="1459"/>
      <c r="AT275" s="1459"/>
      <c r="AU275" s="1459"/>
      <c r="AV275" s="1459"/>
      <c r="AW275" s="1459"/>
      <c r="AX275" s="1459"/>
      <c r="AY275" s="1459"/>
      <c r="AZ275" s="1459"/>
      <c r="BA275" s="1459"/>
      <c r="BB275" s="1459"/>
      <c r="BC275" s="1459"/>
      <c r="BD275" s="1459"/>
      <c r="BE275" s="1459"/>
      <c r="BF275" s="1459"/>
      <c r="BG275" s="1459"/>
      <c r="BH275" s="1459"/>
      <c r="BI275" s="1459"/>
      <c r="BJ275" s="1459"/>
      <c r="BK275" s="1459"/>
      <c r="BL275" s="1459"/>
    </row>
    <row r="276" spans="1:64">
      <c r="A276" s="1623" t="s">
        <v>2186</v>
      </c>
      <c r="B276" s="1249">
        <f>IF(H$54+einmaligesEK!H$14+H$63&lt;1000.01,0,IF(unh(H$54+einmaligesEK!H$14+H$63&gt;1000,H$54+einmaligesEK!H$14+H$63&lt;=1200),H$54+einmaligesEK!H$14+H$63-1000,IF(unh(H$54+einmaligesEK!H$14+H$63&gt;1200,H$8="ja",H$54+einmaligesEK!H$14+H$63&lt;=1500),H$54+einmaligesEK!H$14+H$63-1000,IF(unh(H$54+einmaligesEK!H$14+H$63&gt;1200,H$8="nein",H$54+einmaligesEK!H$14+H$63&lt;=1500),1200-1000,IF(unh(H$54+einmaligesEK!H$14+H$63&gt;=1500,H$8="ja"),1500-1000,IF(unh(H$54+einmaligesEK!H$14+H$63&gt;1500,H$8="nein"),1200-1000))))))</f>
        <v>0</v>
      </c>
      <c r="C276" s="869" t="s">
        <v>2187</v>
      </c>
      <c r="D276" s="1624">
        <f>B276*10/100</f>
        <v>0</v>
      </c>
      <c r="E276" s="1628"/>
      <c r="G276" s="981"/>
      <c r="H276" s="637">
        <f>H274-H275</f>
        <v>0</v>
      </c>
      <c r="J276" s="1459"/>
      <c r="K276" s="1459"/>
      <c r="L276" s="1459"/>
      <c r="M276" s="1459"/>
      <c r="N276" s="1459"/>
      <c r="O276" s="1459"/>
      <c r="P276" s="1459"/>
      <c r="Q276" s="1459"/>
      <c r="R276" s="1459"/>
      <c r="S276" s="1459"/>
      <c r="T276" s="1459"/>
      <c r="U276" s="1459"/>
      <c r="V276" s="1459"/>
      <c r="W276" s="1459"/>
      <c r="X276" s="1459"/>
      <c r="Y276" s="1459"/>
      <c r="Z276" s="1459"/>
      <c r="AA276" s="1459"/>
      <c r="AB276" s="1459"/>
      <c r="AC276" s="1459"/>
      <c r="AD276" s="1459"/>
      <c r="AE276" s="1459"/>
      <c r="AF276" s="1459"/>
      <c r="AG276" s="1459"/>
      <c r="AH276" s="1459"/>
      <c r="AI276" s="1459"/>
      <c r="AJ276" s="1459"/>
      <c r="AK276" s="1459"/>
      <c r="AL276" s="1459"/>
      <c r="AM276" s="1459"/>
      <c r="AN276" s="1459"/>
      <c r="AO276" s="1459"/>
      <c r="AP276" s="1459"/>
      <c r="AQ276" s="1459"/>
      <c r="AR276" s="1459"/>
      <c r="AS276" s="1459"/>
      <c r="AT276" s="1459"/>
      <c r="AU276" s="1459"/>
      <c r="AV276" s="1459"/>
      <c r="AW276" s="1459"/>
      <c r="AX276" s="1459"/>
      <c r="AY276" s="1459"/>
      <c r="AZ276" s="1459"/>
      <c r="BA276" s="1459"/>
      <c r="BB276" s="1459"/>
      <c r="BC276" s="1459"/>
      <c r="BD276" s="1459"/>
      <c r="BE276" s="1459"/>
      <c r="BF276" s="1459"/>
      <c r="BG276" s="1459"/>
      <c r="BH276" s="1459"/>
      <c r="BI276" s="1459"/>
      <c r="BJ276" s="1459"/>
      <c r="BK276" s="1459"/>
      <c r="BL276" s="1459"/>
    </row>
    <row r="277" spans="1:64">
      <c r="A277" s="1625" t="s">
        <v>141</v>
      </c>
      <c r="B277" s="1445"/>
      <c r="C277" s="1445"/>
      <c r="D277" s="1626">
        <f>SUM(D275:D276)</f>
        <v>0</v>
      </c>
      <c r="E277" s="1627">
        <f>D277-D231</f>
        <v>0</v>
      </c>
      <c r="G277" s="981" t="s">
        <v>2330</v>
      </c>
      <c r="H277" s="1615">
        <f>H276/6</f>
        <v>0</v>
      </c>
      <c r="J277" s="1459"/>
      <c r="K277" s="1459"/>
      <c r="L277" s="1459"/>
      <c r="M277" s="1459"/>
      <c r="N277" s="1459"/>
      <c r="O277" s="1459"/>
      <c r="P277" s="1459"/>
      <c r="Q277" s="1459"/>
      <c r="R277" s="1459"/>
      <c r="S277" s="1459"/>
      <c r="T277" s="1459"/>
      <c r="U277" s="1459"/>
      <c r="V277" s="1459"/>
      <c r="W277" s="1459"/>
      <c r="X277" s="1459"/>
      <c r="Y277" s="1459"/>
      <c r="Z277" s="1459"/>
      <c r="AA277" s="1459"/>
      <c r="AB277" s="1459"/>
      <c r="AC277" s="1459"/>
      <c r="AD277" s="1459"/>
      <c r="AE277" s="1459"/>
      <c r="AF277" s="1459"/>
      <c r="AG277" s="1459"/>
      <c r="AH277" s="1459"/>
      <c r="AI277" s="1459"/>
      <c r="AJ277" s="1459"/>
      <c r="AK277" s="1459"/>
      <c r="AL277" s="1459"/>
      <c r="AM277" s="1459"/>
      <c r="AN277" s="1459"/>
      <c r="AO277" s="1459"/>
      <c r="AP277" s="1459"/>
      <c r="AQ277" s="1459"/>
      <c r="AR277" s="1459"/>
      <c r="AS277" s="1459"/>
      <c r="AT277" s="1459"/>
      <c r="AU277" s="1459"/>
      <c r="AV277" s="1459"/>
      <c r="AW277" s="1459"/>
      <c r="AX277" s="1459"/>
      <c r="AY277" s="1459"/>
      <c r="AZ277" s="1459"/>
      <c r="BA277" s="1459"/>
      <c r="BB277" s="1459"/>
      <c r="BC277" s="1459"/>
      <c r="BD277" s="1459"/>
      <c r="BE277" s="1459"/>
      <c r="BF277" s="1459"/>
      <c r="BG277" s="1459"/>
      <c r="BH277" s="1459"/>
      <c r="BI277" s="1459"/>
      <c r="BJ277" s="1459"/>
      <c r="BK277" s="1459"/>
      <c r="BL277" s="1459"/>
    </row>
    <row r="278" spans="1:64">
      <c r="E278" s="1628"/>
      <c r="J278" s="1459"/>
      <c r="K278" s="1459"/>
      <c r="L278" s="1459"/>
      <c r="M278" s="1459"/>
      <c r="N278" s="1459"/>
      <c r="O278" s="1459"/>
      <c r="P278" s="1459"/>
      <c r="Q278" s="1459"/>
      <c r="R278" s="1459"/>
      <c r="S278" s="1459"/>
      <c r="T278" s="1459"/>
      <c r="U278" s="1459"/>
      <c r="V278" s="1459"/>
      <c r="W278" s="1459"/>
      <c r="X278" s="1459"/>
      <c r="Y278" s="1459"/>
      <c r="Z278" s="1459"/>
      <c r="AA278" s="1459"/>
      <c r="AB278" s="1459"/>
      <c r="AC278" s="1459"/>
      <c r="AD278" s="1459"/>
      <c r="AE278" s="1459"/>
      <c r="AF278" s="1459"/>
      <c r="AG278" s="1459"/>
      <c r="AH278" s="1459"/>
      <c r="AI278" s="1459"/>
      <c r="AJ278" s="1459"/>
      <c r="AK278" s="1459"/>
      <c r="AL278" s="1459"/>
      <c r="AM278" s="1459"/>
      <c r="AN278" s="1459"/>
      <c r="AO278" s="1459"/>
      <c r="AP278" s="1459"/>
      <c r="AQ278" s="1459"/>
      <c r="AR278" s="1459"/>
      <c r="AS278" s="1459"/>
      <c r="AT278" s="1459"/>
      <c r="AU278" s="1459"/>
      <c r="AV278" s="1459"/>
      <c r="AW278" s="1459"/>
      <c r="AX278" s="1459"/>
      <c r="AY278" s="1459"/>
      <c r="AZ278" s="1459"/>
      <c r="BA278" s="1459"/>
      <c r="BB278" s="1459"/>
      <c r="BC278" s="1459"/>
      <c r="BD278" s="1459"/>
      <c r="BE278" s="1459"/>
      <c r="BF278" s="1459"/>
      <c r="BG278" s="1459"/>
      <c r="BH278" s="1459"/>
      <c r="BI278" s="1459"/>
      <c r="BJ278" s="1459"/>
      <c r="BK278" s="1459"/>
      <c r="BL278" s="1459"/>
    </row>
    <row r="279" spans="1:64">
      <c r="A279" s="1619" t="s">
        <v>2193</v>
      </c>
      <c r="B279" s="1620"/>
      <c r="C279" s="1621"/>
      <c r="D279" s="1442"/>
      <c r="E279" s="1628"/>
      <c r="G279" s="1259" t="s">
        <v>147</v>
      </c>
      <c r="H279" s="981"/>
      <c r="J279" s="1459"/>
      <c r="K279" s="1459"/>
      <c r="L279" s="1459"/>
      <c r="M279" s="1459"/>
      <c r="N279" s="1459"/>
      <c r="O279" s="1459"/>
      <c r="P279" s="1459"/>
      <c r="Q279" s="1459"/>
      <c r="R279" s="1459"/>
      <c r="S279" s="1459"/>
      <c r="T279" s="1459"/>
      <c r="U279" s="1459"/>
      <c r="V279" s="1459"/>
      <c r="W279" s="1459"/>
      <c r="X279" s="1459"/>
      <c r="Y279" s="1459"/>
      <c r="Z279" s="1459"/>
      <c r="AA279" s="1459"/>
      <c r="AB279" s="1459"/>
      <c r="AC279" s="1459"/>
      <c r="AD279" s="1459"/>
      <c r="AE279" s="1459"/>
      <c r="AF279" s="1459"/>
      <c r="AG279" s="1459"/>
      <c r="AH279" s="1459"/>
      <c r="AI279" s="1459"/>
      <c r="AJ279" s="1459"/>
      <c r="AK279" s="1459"/>
      <c r="AL279" s="1459"/>
      <c r="AM279" s="1459"/>
      <c r="AN279" s="1459"/>
      <c r="AO279" s="1459"/>
      <c r="AP279" s="1459"/>
      <c r="AQ279" s="1459"/>
      <c r="AR279" s="1459"/>
      <c r="AS279" s="1459"/>
      <c r="AT279" s="1459"/>
      <c r="AU279" s="1459"/>
      <c r="AV279" s="1459"/>
      <c r="AW279" s="1459"/>
      <c r="AX279" s="1459"/>
      <c r="AY279" s="1459"/>
      <c r="AZ279" s="1459"/>
      <c r="BA279" s="1459"/>
      <c r="BB279" s="1459"/>
      <c r="BC279" s="1459"/>
      <c r="BD279" s="1459"/>
      <c r="BE279" s="1459"/>
      <c r="BF279" s="1459"/>
      <c r="BG279" s="1459"/>
      <c r="BH279" s="1459"/>
      <c r="BI279" s="1459"/>
      <c r="BJ279" s="1459"/>
      <c r="BK279" s="1459"/>
      <c r="BL279" s="1459"/>
    </row>
    <row r="280" spans="1:64">
      <c r="A280" s="1623" t="s">
        <v>2184</v>
      </c>
      <c r="B280" s="1249">
        <f>IF(AND(I$63=0,I$54+einmaligesEK!I49&lt;=100),0,IF(AND(I$63=0,I$54+einmaligesEK!I49&lt;=1000),I$54+einmaligesEK!I49-100,IF(AND(I$63=0,I$54+einmaligesEK!I49&gt;1000),1000-100,IF(AND(I$63&gt;0,I$54+I$63+einmaligesEK!I49&lt;=I$131),0,IF(AND(I$63&gt;0,I$63+I$54+einmaligesEK!I49&lt;=1000),I$63+I$54+einmaligesEK!I49-I$131,IF(AND(I$63&gt;0,I$63+I$54+einmaligesEK!I49&gt;1000),1000-I$131))))))</f>
        <v>0</v>
      </c>
      <c r="C280" s="869" t="s">
        <v>2185</v>
      </c>
      <c r="D280" s="1624">
        <f>B280*20/100</f>
        <v>0</v>
      </c>
      <c r="E280" s="1628"/>
      <c r="G280" s="981" t="s">
        <v>2328</v>
      </c>
      <c r="H280" s="637">
        <f>IF(H$73&lt;H$72,H$72,0)</f>
        <v>0</v>
      </c>
      <c r="J280" s="1459"/>
      <c r="K280" s="1459"/>
      <c r="L280" s="1459"/>
      <c r="M280" s="1459"/>
      <c r="N280" s="1459"/>
      <c r="O280" s="1459"/>
      <c r="P280" s="1459"/>
      <c r="Q280" s="1459"/>
      <c r="R280" s="1459"/>
      <c r="S280" s="1459"/>
      <c r="T280" s="1459"/>
      <c r="U280" s="1459"/>
      <c r="V280" s="1459"/>
      <c r="W280" s="1459"/>
      <c r="X280" s="1459"/>
      <c r="Y280" s="1459"/>
      <c r="Z280" s="1459"/>
      <c r="AA280" s="1459"/>
      <c r="AB280" s="1459"/>
      <c r="AC280" s="1459"/>
      <c r="AD280" s="1459"/>
      <c r="AE280" s="1459"/>
      <c r="AF280" s="1459"/>
      <c r="AG280" s="1459"/>
      <c r="AH280" s="1459"/>
      <c r="AI280" s="1459"/>
      <c r="AJ280" s="1459"/>
      <c r="AK280" s="1459"/>
      <c r="AL280" s="1459"/>
      <c r="AM280" s="1459"/>
      <c r="AN280" s="1459"/>
      <c r="AO280" s="1459"/>
      <c r="AP280" s="1459"/>
      <c r="AQ280" s="1459"/>
      <c r="AR280" s="1459"/>
      <c r="AS280" s="1459"/>
      <c r="AT280" s="1459"/>
      <c r="AU280" s="1459"/>
      <c r="AV280" s="1459"/>
      <c r="AW280" s="1459"/>
      <c r="AX280" s="1459"/>
      <c r="AY280" s="1459"/>
      <c r="AZ280" s="1459"/>
      <c r="BA280" s="1459"/>
      <c r="BB280" s="1459"/>
      <c r="BC280" s="1459"/>
      <c r="BD280" s="1459"/>
      <c r="BE280" s="1459"/>
      <c r="BF280" s="1459"/>
      <c r="BG280" s="1459"/>
      <c r="BH280" s="1459"/>
      <c r="BI280" s="1459"/>
      <c r="BJ280" s="1459"/>
      <c r="BK280" s="1459"/>
      <c r="BL280" s="1459"/>
    </row>
    <row r="281" spans="1:64">
      <c r="A281" s="1623" t="s">
        <v>2186</v>
      </c>
      <c r="B281" s="1249">
        <f>IF(I$54+einmaligesEK!I$14+I$63&lt;1000.01,0,IF(uni(I$54+einmaligesEK!I$14+I$63&gt;1000,I$54+einmaligesEK!I$14+I$63&lt;=1200),I$54+einmaligesEK!I$14+I$63-1000,IF(uni(I$54+einmaligesEK!I$14+I$63&gt;1200,I$8="ja",I$54+einmaligesEK!I$14+I$63&lt;=1500),I$54+einmaligesEK!I$14+I$63-1000,IF(uni(I$54+einmaligesEK!I$14+I$63&gt;1200,I$8="nein",I$54+einmaligesEK!I$14+I$63&lt;=1500),1200-1000,IF(uni(I$54+einmaligesEK!I$14+I$63&gt;=1500,I$8="ja"),1500-1000,IF(uni(I$54+einmaligesEK!I$14+I$63&gt;1500,I$8="nein"),1200-1000))))))</f>
        <v>0</v>
      </c>
      <c r="C281" s="869" t="s">
        <v>2187</v>
      </c>
      <c r="D281" s="1624">
        <f>B281*10/100</f>
        <v>0</v>
      </c>
      <c r="E281" s="1628"/>
      <c r="G281" s="981" t="s">
        <v>2317</v>
      </c>
      <c r="H281" s="1614">
        <f>IF(H$73&lt;H$72,einmaligesEK!H$12,0)</f>
        <v>0</v>
      </c>
      <c r="J281" s="1459"/>
      <c r="K281" s="1459"/>
      <c r="L281" s="1459"/>
      <c r="M281" s="1459"/>
      <c r="N281" s="1459"/>
      <c r="O281" s="1459"/>
      <c r="P281" s="1459"/>
      <c r="Q281" s="1459"/>
      <c r="R281" s="1459"/>
      <c r="S281" s="1459"/>
      <c r="T281" s="1459"/>
      <c r="U281" s="1459"/>
      <c r="V281" s="1459"/>
      <c r="W281" s="1459"/>
      <c r="X281" s="1459"/>
      <c r="Y281" s="1459"/>
      <c r="Z281" s="1459"/>
      <c r="AA281" s="1459"/>
      <c r="AB281" s="1459"/>
      <c r="AC281" s="1459"/>
      <c r="AD281" s="1459"/>
      <c r="AE281" s="1459"/>
      <c r="AF281" s="1459"/>
      <c r="AG281" s="1459"/>
      <c r="AH281" s="1459"/>
      <c r="AI281" s="1459"/>
      <c r="AJ281" s="1459"/>
      <c r="AK281" s="1459"/>
      <c r="AL281" s="1459"/>
      <c r="AM281" s="1459"/>
      <c r="AN281" s="1459"/>
      <c r="AO281" s="1459"/>
      <c r="AP281" s="1459"/>
      <c r="AQ281" s="1459"/>
      <c r="AR281" s="1459"/>
      <c r="AS281" s="1459"/>
      <c r="AT281" s="1459"/>
      <c r="AU281" s="1459"/>
      <c r="AV281" s="1459"/>
      <c r="AW281" s="1459"/>
      <c r="AX281" s="1459"/>
      <c r="AY281" s="1459"/>
      <c r="AZ281" s="1459"/>
      <c r="BA281" s="1459"/>
      <c r="BB281" s="1459"/>
      <c r="BC281" s="1459"/>
      <c r="BD281" s="1459"/>
      <c r="BE281" s="1459"/>
      <c r="BF281" s="1459"/>
      <c r="BG281" s="1459"/>
      <c r="BH281" s="1459"/>
      <c r="BI281" s="1459"/>
      <c r="BJ281" s="1459"/>
      <c r="BK281" s="1459"/>
      <c r="BL281" s="1459"/>
    </row>
    <row r="282" spans="1:64">
      <c r="A282" s="1625" t="s">
        <v>141</v>
      </c>
      <c r="B282" s="1445"/>
      <c r="C282" s="1445"/>
      <c r="D282" s="1626">
        <f>SUM(D280:D281)</f>
        <v>0</v>
      </c>
      <c r="E282" s="1627">
        <f>D282-D236</f>
        <v>0</v>
      </c>
      <c r="G282" s="981"/>
      <c r="H282" s="637">
        <f>H280-H281</f>
        <v>0</v>
      </c>
      <c r="J282" s="1459"/>
      <c r="K282" s="1459"/>
      <c r="L282" s="1459"/>
      <c r="M282" s="1459"/>
      <c r="N282" s="1459"/>
      <c r="O282" s="1459"/>
      <c r="P282" s="1459"/>
      <c r="Q282" s="1459"/>
      <c r="R282" s="1459"/>
      <c r="S282" s="1459"/>
      <c r="T282" s="1459"/>
      <c r="U282" s="1459"/>
      <c r="V282" s="1459"/>
      <c r="W282" s="1459"/>
      <c r="X282" s="1459"/>
      <c r="Y282" s="1459"/>
      <c r="Z282" s="1459"/>
      <c r="AA282" s="1459"/>
      <c r="AB282" s="1459"/>
      <c r="AC282" s="1459"/>
      <c r="AD282" s="1459"/>
      <c r="AE282" s="1459"/>
      <c r="AF282" s="1459"/>
      <c r="AG282" s="1459"/>
      <c r="AH282" s="1459"/>
      <c r="AI282" s="1459"/>
      <c r="AJ282" s="1459"/>
      <c r="AK282" s="1459"/>
      <c r="AL282" s="1459"/>
      <c r="AM282" s="1459"/>
      <c r="AN282" s="1459"/>
      <c r="AO282" s="1459"/>
      <c r="AP282" s="1459"/>
      <c r="AQ282" s="1459"/>
      <c r="AR282" s="1459"/>
      <c r="AS282" s="1459"/>
      <c r="AT282" s="1459"/>
      <c r="AU282" s="1459"/>
      <c r="AV282" s="1459"/>
      <c r="AW282" s="1459"/>
      <c r="AX282" s="1459"/>
      <c r="AY282" s="1459"/>
      <c r="AZ282" s="1459"/>
      <c r="BA282" s="1459"/>
      <c r="BB282" s="1459"/>
      <c r="BC282" s="1459"/>
      <c r="BD282" s="1459"/>
      <c r="BE282" s="1459"/>
      <c r="BF282" s="1459"/>
      <c r="BG282" s="1459"/>
      <c r="BH282" s="1459"/>
      <c r="BI282" s="1459"/>
      <c r="BJ282" s="1459"/>
      <c r="BK282" s="1459"/>
      <c r="BL282" s="1459"/>
    </row>
    <row r="283" spans="1:64">
      <c r="G283" s="981" t="s">
        <v>2330</v>
      </c>
      <c r="H283" s="1615">
        <f>H282/6</f>
        <v>0</v>
      </c>
      <c r="J283" s="1459"/>
      <c r="K283" s="1459"/>
      <c r="L283" s="1459"/>
      <c r="M283" s="1459"/>
      <c r="N283" s="1459"/>
      <c r="O283" s="1459"/>
      <c r="P283" s="1459"/>
      <c r="Q283" s="1459"/>
      <c r="R283" s="1459"/>
      <c r="S283" s="1459"/>
      <c r="T283" s="1459"/>
      <c r="U283" s="1459"/>
      <c r="V283" s="1459"/>
      <c r="W283" s="1459"/>
      <c r="X283" s="1459"/>
      <c r="Y283" s="1459"/>
      <c r="Z283" s="1459"/>
      <c r="AA283" s="1459"/>
      <c r="AB283" s="1459"/>
      <c r="AC283" s="1459"/>
      <c r="AD283" s="1459"/>
      <c r="AE283" s="1459"/>
      <c r="AF283" s="1459"/>
      <c r="AG283" s="1459"/>
      <c r="AH283" s="1459"/>
      <c r="AI283" s="1459"/>
      <c r="AJ283" s="1459"/>
      <c r="AK283" s="1459"/>
      <c r="AL283" s="1459"/>
      <c r="AM283" s="1459"/>
      <c r="AN283" s="1459"/>
      <c r="AO283" s="1459"/>
      <c r="AP283" s="1459"/>
      <c r="AQ283" s="1459"/>
      <c r="AR283" s="1459"/>
      <c r="AS283" s="1459"/>
      <c r="AT283" s="1459"/>
      <c r="AU283" s="1459"/>
      <c r="AV283" s="1459"/>
      <c r="AW283" s="1459"/>
      <c r="AX283" s="1459"/>
      <c r="AY283" s="1459"/>
      <c r="AZ283" s="1459"/>
      <c r="BA283" s="1459"/>
      <c r="BB283" s="1459"/>
      <c r="BC283" s="1459"/>
      <c r="BD283" s="1459"/>
      <c r="BE283" s="1459"/>
      <c r="BF283" s="1459"/>
      <c r="BG283" s="1459"/>
      <c r="BH283" s="1459"/>
      <c r="BI283" s="1459"/>
      <c r="BJ283" s="1459"/>
      <c r="BK283" s="1459"/>
      <c r="BL283" s="1459"/>
    </row>
    <row r="284" spans="1:64">
      <c r="J284" s="1459"/>
      <c r="K284" s="1459"/>
      <c r="L284" s="1459"/>
      <c r="M284" s="1459"/>
      <c r="N284" s="1459"/>
      <c r="O284" s="1459"/>
      <c r="P284" s="1459"/>
      <c r="Q284" s="1459"/>
      <c r="R284" s="1459"/>
      <c r="S284" s="1459"/>
      <c r="T284" s="1459"/>
      <c r="U284" s="1459"/>
      <c r="V284" s="1459"/>
      <c r="W284" s="1459"/>
      <c r="X284" s="1459"/>
      <c r="Y284" s="1459"/>
      <c r="Z284" s="1459"/>
      <c r="AA284" s="1459"/>
      <c r="AB284" s="1459"/>
      <c r="AC284" s="1459"/>
      <c r="AD284" s="1459"/>
      <c r="AE284" s="1459"/>
      <c r="AF284" s="1459"/>
      <c r="AG284" s="1459"/>
      <c r="AH284" s="1459"/>
      <c r="AI284" s="1459"/>
      <c r="AJ284" s="1459"/>
      <c r="AK284" s="1459"/>
      <c r="AL284" s="1459"/>
      <c r="AM284" s="1459"/>
      <c r="AN284" s="1459"/>
      <c r="AO284" s="1459"/>
      <c r="AP284" s="1459"/>
      <c r="AQ284" s="1459"/>
      <c r="AR284" s="1459"/>
      <c r="AS284" s="1459"/>
      <c r="AT284" s="1459"/>
      <c r="AU284" s="1459"/>
      <c r="AV284" s="1459"/>
      <c r="AW284" s="1459"/>
      <c r="AX284" s="1459"/>
      <c r="AY284" s="1459"/>
      <c r="AZ284" s="1459"/>
      <c r="BA284" s="1459"/>
      <c r="BB284" s="1459"/>
      <c r="BC284" s="1459"/>
      <c r="BD284" s="1459"/>
      <c r="BE284" s="1459"/>
      <c r="BF284" s="1459"/>
      <c r="BG284" s="1459"/>
      <c r="BH284" s="1459"/>
      <c r="BI284" s="1459"/>
      <c r="BJ284" s="1459"/>
      <c r="BK284" s="1459"/>
      <c r="BL284" s="1459"/>
    </row>
    <row r="285" spans="1:64">
      <c r="G285" s="1259" t="s">
        <v>148</v>
      </c>
      <c r="H285" s="981"/>
      <c r="J285" s="1459"/>
      <c r="K285" s="1459"/>
      <c r="L285" s="1459"/>
      <c r="M285" s="1459"/>
      <c r="N285" s="1459"/>
      <c r="O285" s="1459"/>
      <c r="P285" s="1459"/>
      <c r="Q285" s="1459"/>
      <c r="R285" s="1459"/>
      <c r="S285" s="1459"/>
      <c r="T285" s="1459"/>
      <c r="U285" s="1459"/>
      <c r="V285" s="1459"/>
      <c r="W285" s="1459"/>
      <c r="X285" s="1459"/>
      <c r="Y285" s="1459"/>
      <c r="Z285" s="1459"/>
      <c r="AA285" s="1459"/>
      <c r="AB285" s="1459"/>
      <c r="AC285" s="1459"/>
      <c r="AD285" s="1459"/>
      <c r="AE285" s="1459"/>
      <c r="AF285" s="1459"/>
      <c r="AG285" s="1459"/>
      <c r="AH285" s="1459"/>
      <c r="AI285" s="1459"/>
      <c r="AJ285" s="1459"/>
      <c r="AK285" s="1459"/>
      <c r="AL285" s="1459"/>
      <c r="AM285" s="1459"/>
      <c r="AN285" s="1459"/>
      <c r="AO285" s="1459"/>
      <c r="AP285" s="1459"/>
      <c r="AQ285" s="1459"/>
      <c r="AR285" s="1459"/>
      <c r="AS285" s="1459"/>
      <c r="AT285" s="1459"/>
      <c r="AU285" s="1459"/>
      <c r="AV285" s="1459"/>
      <c r="AW285" s="1459"/>
      <c r="AX285" s="1459"/>
      <c r="AY285" s="1459"/>
      <c r="AZ285" s="1459"/>
      <c r="BA285" s="1459"/>
      <c r="BB285" s="1459"/>
      <c r="BC285" s="1459"/>
      <c r="BD285" s="1459"/>
      <c r="BE285" s="1459"/>
      <c r="BF285" s="1459"/>
      <c r="BG285" s="1459"/>
      <c r="BH285" s="1459"/>
      <c r="BI285" s="1459"/>
      <c r="BJ285" s="1459"/>
      <c r="BK285" s="1459"/>
      <c r="BL285" s="1459"/>
    </row>
    <row r="286" spans="1:64">
      <c r="G286" s="981" t="s">
        <v>2328</v>
      </c>
      <c r="H286" s="637">
        <f>IF(I$73&lt;I$72,I$72,0)</f>
        <v>0</v>
      </c>
      <c r="J286" s="1459"/>
      <c r="K286" s="1459"/>
      <c r="L286" s="1459"/>
      <c r="M286" s="1459"/>
      <c r="N286" s="1459"/>
      <c r="O286" s="1459"/>
      <c r="P286" s="1459"/>
      <c r="Q286" s="1459"/>
      <c r="R286" s="1459"/>
      <c r="S286" s="1459"/>
      <c r="T286" s="1459"/>
      <c r="U286" s="1459"/>
      <c r="V286" s="1459"/>
      <c r="W286" s="1459"/>
      <c r="X286" s="1459"/>
      <c r="Y286" s="1459"/>
      <c r="Z286" s="1459"/>
      <c r="AA286" s="1459"/>
      <c r="AB286" s="1459"/>
      <c r="AC286" s="1459"/>
      <c r="AD286" s="1459"/>
      <c r="AE286" s="1459"/>
      <c r="AF286" s="1459"/>
      <c r="AG286" s="1459"/>
      <c r="AH286" s="1459"/>
      <c r="AI286" s="1459"/>
      <c r="AJ286" s="1459"/>
      <c r="AK286" s="1459"/>
      <c r="AL286" s="1459"/>
      <c r="AM286" s="1459"/>
      <c r="AN286" s="1459"/>
      <c r="AO286" s="1459"/>
      <c r="AP286" s="1459"/>
      <c r="AQ286" s="1459"/>
      <c r="AR286" s="1459"/>
      <c r="AS286" s="1459"/>
      <c r="AT286" s="1459"/>
      <c r="AU286" s="1459"/>
      <c r="AV286" s="1459"/>
      <c r="AW286" s="1459"/>
      <c r="AX286" s="1459"/>
      <c r="AY286" s="1459"/>
      <c r="AZ286" s="1459"/>
      <c r="BA286" s="1459"/>
      <c r="BB286" s="1459"/>
      <c r="BC286" s="1459"/>
      <c r="BD286" s="1459"/>
      <c r="BE286" s="1459"/>
      <c r="BF286" s="1459"/>
      <c r="BG286" s="1459"/>
      <c r="BH286" s="1459"/>
      <c r="BI286" s="1459"/>
      <c r="BJ286" s="1459"/>
      <c r="BK286" s="1459"/>
      <c r="BL286" s="1459"/>
    </row>
    <row r="287" spans="1:64">
      <c r="G287" s="981" t="s">
        <v>2317</v>
      </c>
      <c r="H287" s="1614">
        <f>IF(I$73&lt;I$72,einmaligesEK!I$12,0)</f>
        <v>0</v>
      </c>
      <c r="J287" s="1459"/>
      <c r="K287" s="1459"/>
      <c r="L287" s="1459"/>
      <c r="M287" s="1459"/>
      <c r="N287" s="1459"/>
      <c r="O287" s="1459"/>
      <c r="P287" s="1459"/>
      <c r="Q287" s="1459"/>
      <c r="R287" s="1459"/>
      <c r="S287" s="1459"/>
      <c r="T287" s="1459"/>
      <c r="U287" s="1459"/>
      <c r="V287" s="1459"/>
      <c r="W287" s="1459"/>
      <c r="X287" s="1459"/>
      <c r="Y287" s="1459"/>
      <c r="Z287" s="1459"/>
      <c r="AA287" s="1459"/>
      <c r="AB287" s="1459"/>
      <c r="AC287" s="1459"/>
      <c r="AD287" s="1459"/>
      <c r="AE287" s="1459"/>
      <c r="AF287" s="1459"/>
      <c r="AG287" s="1459"/>
      <c r="AH287" s="1459"/>
      <c r="AI287" s="1459"/>
      <c r="AJ287" s="1459"/>
      <c r="AK287" s="1459"/>
      <c r="AL287" s="1459"/>
      <c r="AM287" s="1459"/>
      <c r="AN287" s="1459"/>
      <c r="AO287" s="1459"/>
      <c r="AP287" s="1459"/>
      <c r="AQ287" s="1459"/>
      <c r="AR287" s="1459"/>
      <c r="AS287" s="1459"/>
      <c r="AT287" s="1459"/>
      <c r="AU287" s="1459"/>
      <c r="AV287" s="1459"/>
      <c r="AW287" s="1459"/>
      <c r="AX287" s="1459"/>
      <c r="AY287" s="1459"/>
      <c r="AZ287" s="1459"/>
      <c r="BA287" s="1459"/>
      <c r="BB287" s="1459"/>
      <c r="BC287" s="1459"/>
      <c r="BD287" s="1459"/>
      <c r="BE287" s="1459"/>
      <c r="BF287" s="1459"/>
      <c r="BG287" s="1459"/>
      <c r="BH287" s="1459"/>
      <c r="BI287" s="1459"/>
      <c r="BJ287" s="1459"/>
      <c r="BK287" s="1459"/>
      <c r="BL287" s="1459"/>
    </row>
    <row r="288" spans="1:64">
      <c r="G288" s="981"/>
      <c r="H288" s="637">
        <f>H286-H287</f>
        <v>0</v>
      </c>
      <c r="J288" s="1459"/>
      <c r="K288" s="1459"/>
      <c r="L288" s="1459"/>
      <c r="M288" s="1459"/>
      <c r="N288" s="1459"/>
      <c r="O288" s="1459"/>
      <c r="P288" s="1459"/>
      <c r="Q288" s="1459"/>
      <c r="R288" s="1459"/>
      <c r="S288" s="1459"/>
      <c r="T288" s="1459"/>
      <c r="U288" s="1459"/>
      <c r="V288" s="1459"/>
      <c r="W288" s="1459"/>
      <c r="X288" s="1459"/>
      <c r="Y288" s="1459"/>
      <c r="Z288" s="1459"/>
      <c r="AA288" s="1459"/>
      <c r="AB288" s="1459"/>
      <c r="AC288" s="1459"/>
      <c r="AD288" s="1459"/>
      <c r="AE288" s="1459"/>
      <c r="AF288" s="1459"/>
      <c r="AG288" s="1459"/>
      <c r="AH288" s="1459"/>
      <c r="AI288" s="1459"/>
      <c r="AJ288" s="1459"/>
      <c r="AK288" s="1459"/>
      <c r="AL288" s="1459"/>
      <c r="AM288" s="1459"/>
      <c r="AN288" s="1459"/>
      <c r="AO288" s="1459"/>
      <c r="AP288" s="1459"/>
      <c r="AQ288" s="1459"/>
      <c r="AR288" s="1459"/>
      <c r="AS288" s="1459"/>
      <c r="AT288" s="1459"/>
      <c r="AU288" s="1459"/>
      <c r="AV288" s="1459"/>
      <c r="AW288" s="1459"/>
      <c r="AX288" s="1459"/>
      <c r="AY288" s="1459"/>
      <c r="AZ288" s="1459"/>
      <c r="BA288" s="1459"/>
      <c r="BB288" s="1459"/>
      <c r="BC288" s="1459"/>
      <c r="BD288" s="1459"/>
      <c r="BE288" s="1459"/>
      <c r="BF288" s="1459"/>
      <c r="BG288" s="1459"/>
      <c r="BH288" s="1459"/>
      <c r="BI288" s="1459"/>
      <c r="BJ288" s="1459"/>
      <c r="BK288" s="1459"/>
      <c r="BL288" s="1459"/>
    </row>
    <row r="289" spans="1:64">
      <c r="G289" s="981" t="s">
        <v>2330</v>
      </c>
      <c r="H289" s="1615">
        <f>H288/6</f>
        <v>0</v>
      </c>
      <c r="J289" s="1459"/>
      <c r="K289" s="1459"/>
      <c r="L289" s="1459"/>
      <c r="M289" s="1459"/>
      <c r="N289" s="1459"/>
      <c r="O289" s="1459"/>
      <c r="P289" s="1459"/>
      <c r="Q289" s="1459"/>
      <c r="R289" s="1459"/>
      <c r="S289" s="1459"/>
      <c r="T289" s="1459"/>
      <c r="U289" s="1459"/>
      <c r="V289" s="1459"/>
      <c r="W289" s="1459"/>
      <c r="X289" s="1459"/>
      <c r="Y289" s="1459"/>
      <c r="Z289" s="1459"/>
      <c r="AA289" s="1459"/>
      <c r="AB289" s="1459"/>
      <c r="AC289" s="1459"/>
      <c r="AD289" s="1459"/>
      <c r="AE289" s="1459"/>
      <c r="AF289" s="1459"/>
      <c r="AG289" s="1459"/>
      <c r="AH289" s="1459"/>
      <c r="AI289" s="1459"/>
      <c r="AJ289" s="1459"/>
      <c r="AK289" s="1459"/>
      <c r="AL289" s="1459"/>
      <c r="AM289" s="1459"/>
      <c r="AN289" s="1459"/>
      <c r="AO289" s="1459"/>
      <c r="AP289" s="1459"/>
      <c r="AQ289" s="1459"/>
      <c r="AR289" s="1459"/>
      <c r="AS289" s="1459"/>
      <c r="AT289" s="1459"/>
      <c r="AU289" s="1459"/>
      <c r="AV289" s="1459"/>
      <c r="AW289" s="1459"/>
      <c r="AX289" s="1459"/>
      <c r="AY289" s="1459"/>
      <c r="AZ289" s="1459"/>
      <c r="BA289" s="1459"/>
      <c r="BB289" s="1459"/>
      <c r="BC289" s="1459"/>
      <c r="BD289" s="1459"/>
      <c r="BE289" s="1459"/>
      <c r="BF289" s="1459"/>
      <c r="BG289" s="1459"/>
      <c r="BH289" s="1459"/>
      <c r="BI289" s="1459"/>
      <c r="BJ289" s="1459"/>
      <c r="BK289" s="1459"/>
      <c r="BL289" s="1459"/>
    </row>
    <row r="290" spans="1:64">
      <c r="J290" s="1459"/>
      <c r="K290" s="1459"/>
      <c r="L290" s="1459"/>
      <c r="M290" s="1459"/>
      <c r="N290" s="1459"/>
      <c r="O290" s="1459"/>
      <c r="P290" s="1459"/>
      <c r="Q290" s="1459"/>
      <c r="R290" s="1459"/>
      <c r="S290" s="1459"/>
      <c r="T290" s="1459"/>
      <c r="U290" s="1459"/>
      <c r="V290" s="1459"/>
      <c r="W290" s="1459"/>
      <c r="X290" s="1459"/>
      <c r="Y290" s="1459"/>
      <c r="Z290" s="1459"/>
      <c r="AA290" s="1459"/>
      <c r="AB290" s="1459"/>
      <c r="AC290" s="1459"/>
      <c r="AD290" s="1459"/>
      <c r="AE290" s="1459"/>
      <c r="AF290" s="1459"/>
      <c r="AG290" s="1459"/>
      <c r="AH290" s="1459"/>
      <c r="AI290" s="1459"/>
      <c r="AJ290" s="1459"/>
      <c r="AK290" s="1459"/>
      <c r="AL290" s="1459"/>
      <c r="AM290" s="1459"/>
      <c r="AN290" s="1459"/>
      <c r="AO290" s="1459"/>
      <c r="AP290" s="1459"/>
      <c r="AQ290" s="1459"/>
      <c r="AR290" s="1459"/>
      <c r="AS290" s="1459"/>
      <c r="AT290" s="1459"/>
      <c r="AU290" s="1459"/>
      <c r="AV290" s="1459"/>
      <c r="AW290" s="1459"/>
      <c r="AX290" s="1459"/>
      <c r="AY290" s="1459"/>
      <c r="AZ290" s="1459"/>
      <c r="BA290" s="1459"/>
      <c r="BB290" s="1459"/>
      <c r="BC290" s="1459"/>
      <c r="BD290" s="1459"/>
      <c r="BE290" s="1459"/>
      <c r="BF290" s="1459"/>
      <c r="BG290" s="1459"/>
      <c r="BH290" s="1459"/>
      <c r="BI290" s="1459"/>
      <c r="BJ290" s="1459"/>
      <c r="BK290" s="1459"/>
      <c r="BL290" s="1459"/>
    </row>
    <row r="291" spans="1:64" hidden="1">
      <c r="J291" s="1459"/>
      <c r="K291" s="1459"/>
      <c r="L291" s="1459"/>
      <c r="M291" s="1459"/>
      <c r="N291" s="1459"/>
      <c r="O291" s="1459"/>
      <c r="P291" s="1459"/>
      <c r="Q291" s="1459"/>
      <c r="R291" s="1459"/>
      <c r="S291" s="1459"/>
      <c r="T291" s="1459"/>
      <c r="U291" s="1459"/>
      <c r="V291" s="1459"/>
      <c r="W291" s="1459"/>
      <c r="X291" s="1459"/>
      <c r="Y291" s="1459"/>
      <c r="Z291" s="1459"/>
      <c r="AA291" s="1459"/>
      <c r="AB291" s="1459"/>
      <c r="AC291" s="1459"/>
      <c r="AD291" s="1459"/>
      <c r="AE291" s="1459"/>
      <c r="AF291" s="1459"/>
      <c r="AG291" s="1459"/>
      <c r="AH291" s="1459"/>
      <c r="AI291" s="1459"/>
      <c r="AJ291" s="1459"/>
      <c r="AK291" s="1459"/>
      <c r="AL291" s="1459"/>
      <c r="AM291" s="1459"/>
      <c r="AN291" s="1459"/>
      <c r="AO291" s="1459"/>
      <c r="AP291" s="1459"/>
      <c r="AQ291" s="1459"/>
      <c r="AR291" s="1459"/>
      <c r="AS291" s="1459"/>
      <c r="AT291" s="1459"/>
      <c r="AU291" s="1459"/>
      <c r="AV291" s="1459"/>
      <c r="AW291" s="1459"/>
      <c r="AX291" s="1459"/>
      <c r="AY291" s="1459"/>
      <c r="AZ291" s="1459"/>
      <c r="BA291" s="1459"/>
      <c r="BB291" s="1459"/>
      <c r="BC291" s="1459"/>
      <c r="BD291" s="1459"/>
      <c r="BE291" s="1459"/>
      <c r="BF291" s="1459"/>
      <c r="BG291" s="1459"/>
      <c r="BH291" s="1459"/>
      <c r="BI291" s="1459"/>
      <c r="BJ291" s="1459"/>
      <c r="BK291" s="1459"/>
      <c r="BL291" s="1459"/>
    </row>
    <row r="292" spans="1:64" hidden="1">
      <c r="J292" s="1459"/>
      <c r="K292" s="1459"/>
      <c r="L292" s="1459"/>
      <c r="M292" s="1459"/>
      <c r="N292" s="1459"/>
      <c r="O292" s="1459"/>
      <c r="P292" s="1459"/>
      <c r="Q292" s="1459"/>
      <c r="R292" s="1459"/>
      <c r="S292" s="1459"/>
      <c r="T292" s="1459"/>
      <c r="U292" s="1459"/>
      <c r="V292" s="1459"/>
      <c r="W292" s="1459"/>
      <c r="X292" s="1459"/>
      <c r="Y292" s="1459"/>
      <c r="Z292" s="1459"/>
      <c r="AA292" s="1459"/>
      <c r="AB292" s="1459"/>
      <c r="AC292" s="1459"/>
      <c r="AD292" s="1459"/>
      <c r="AE292" s="1459"/>
      <c r="AF292" s="1459"/>
      <c r="AG292" s="1459"/>
      <c r="AH292" s="1459"/>
      <c r="AI292" s="1459"/>
      <c r="AJ292" s="1459"/>
      <c r="AK292" s="1459"/>
      <c r="AL292" s="1459"/>
      <c r="AM292" s="1459"/>
      <c r="AN292" s="1459"/>
      <c r="AO292" s="1459"/>
      <c r="AP292" s="1459"/>
      <c r="AQ292" s="1459"/>
      <c r="AR292" s="1459"/>
      <c r="AS292" s="1459"/>
      <c r="AT292" s="1459"/>
      <c r="AU292" s="1459"/>
      <c r="AV292" s="1459"/>
      <c r="AW292" s="1459"/>
      <c r="AX292" s="1459"/>
      <c r="AY292" s="1459"/>
      <c r="AZ292" s="1459"/>
      <c r="BA292" s="1459"/>
      <c r="BB292" s="1459"/>
      <c r="BC292" s="1459"/>
      <c r="BD292" s="1459"/>
      <c r="BE292" s="1459"/>
      <c r="BF292" s="1459"/>
      <c r="BG292" s="1459"/>
      <c r="BH292" s="1459"/>
      <c r="BI292" s="1459"/>
      <c r="BJ292" s="1459"/>
      <c r="BK292" s="1459"/>
      <c r="BL292" s="1459"/>
    </row>
    <row r="293" spans="1:64" hidden="1">
      <c r="J293" s="1459"/>
      <c r="K293" s="1459"/>
      <c r="L293" s="1459"/>
      <c r="M293" s="1459"/>
      <c r="N293" s="1459"/>
      <c r="O293" s="1459"/>
      <c r="P293" s="1459"/>
      <c r="Q293" s="1459"/>
      <c r="R293" s="1459"/>
      <c r="S293" s="1459"/>
      <c r="T293" s="1459"/>
      <c r="U293" s="1459"/>
      <c r="V293" s="1459"/>
      <c r="W293" s="1459"/>
      <c r="X293" s="1459"/>
      <c r="Y293" s="1459"/>
      <c r="Z293" s="1459"/>
      <c r="AA293" s="1459"/>
      <c r="AB293" s="1459"/>
      <c r="AC293" s="1459"/>
      <c r="AD293" s="1459"/>
      <c r="AE293" s="1459"/>
      <c r="AF293" s="1459"/>
      <c r="AG293" s="1459"/>
      <c r="AH293" s="1459"/>
      <c r="AI293" s="1459"/>
      <c r="AJ293" s="1459"/>
      <c r="AK293" s="1459"/>
      <c r="AL293" s="1459"/>
      <c r="AM293" s="1459"/>
      <c r="AN293" s="1459"/>
      <c r="AO293" s="1459"/>
      <c r="AP293" s="1459"/>
      <c r="AQ293" s="1459"/>
      <c r="AR293" s="1459"/>
      <c r="AS293" s="1459"/>
      <c r="AT293" s="1459"/>
      <c r="AU293" s="1459"/>
      <c r="AV293" s="1459"/>
      <c r="AW293" s="1459"/>
      <c r="AX293" s="1459"/>
      <c r="AY293" s="1459"/>
      <c r="AZ293" s="1459"/>
      <c r="BA293" s="1459"/>
      <c r="BB293" s="1459"/>
      <c r="BC293" s="1459"/>
      <c r="BD293" s="1459"/>
      <c r="BE293" s="1459"/>
      <c r="BF293" s="1459"/>
      <c r="BG293" s="1459"/>
      <c r="BH293" s="1459"/>
      <c r="BI293" s="1459"/>
      <c r="BJ293" s="1459"/>
      <c r="BK293" s="1459"/>
      <c r="BL293" s="1459"/>
    </row>
    <row r="294" spans="1:64">
      <c r="J294" s="1459"/>
      <c r="K294" s="1459"/>
      <c r="L294" s="1459"/>
      <c r="M294" s="1459"/>
      <c r="N294" s="1459"/>
      <c r="O294" s="1459"/>
      <c r="P294" s="1459"/>
      <c r="Q294" s="1459"/>
      <c r="R294" s="1459"/>
      <c r="S294" s="1459"/>
      <c r="T294" s="1459"/>
      <c r="U294" s="1459"/>
      <c r="V294" s="1459"/>
      <c r="W294" s="1459"/>
      <c r="X294" s="1459"/>
      <c r="Y294" s="1459"/>
      <c r="Z294" s="1459"/>
      <c r="AA294" s="1459"/>
      <c r="AB294" s="1459"/>
      <c r="AC294" s="1459"/>
      <c r="AD294" s="1459"/>
      <c r="AE294" s="1459"/>
      <c r="AF294" s="1459"/>
      <c r="AG294" s="1459"/>
      <c r="AH294" s="1459"/>
      <c r="AI294" s="1459"/>
      <c r="AJ294" s="1459"/>
      <c r="AK294" s="1459"/>
      <c r="AL294" s="1459"/>
      <c r="AM294" s="1459"/>
      <c r="AN294" s="1459"/>
      <c r="AO294" s="1459"/>
      <c r="AP294" s="1459"/>
      <c r="AQ294" s="1459"/>
      <c r="AR294" s="1459"/>
      <c r="AS294" s="1459"/>
      <c r="AT294" s="1459"/>
      <c r="AU294" s="1459"/>
      <c r="AV294" s="1459"/>
      <c r="AW294" s="1459"/>
      <c r="AX294" s="1459"/>
      <c r="AY294" s="1459"/>
      <c r="AZ294" s="1459"/>
      <c r="BA294" s="1459"/>
      <c r="BB294" s="1459"/>
      <c r="BC294" s="1459"/>
      <c r="BD294" s="1459"/>
      <c r="BE294" s="1459"/>
      <c r="BF294" s="1459"/>
      <c r="BG294" s="1459"/>
      <c r="BH294" s="1459"/>
      <c r="BI294" s="1459"/>
      <c r="BJ294" s="1459"/>
      <c r="BK294" s="1459"/>
      <c r="BL294" s="1459"/>
    </row>
    <row r="295" spans="1:64">
      <c r="A295" s="1629" t="s">
        <v>2334</v>
      </c>
      <c r="B295" s="1630"/>
      <c r="C295" s="1630"/>
      <c r="D295" s="1630"/>
      <c r="J295" s="1459"/>
      <c r="K295" s="1459"/>
      <c r="L295" s="1459"/>
      <c r="M295" s="1459"/>
      <c r="N295" s="1459"/>
      <c r="O295" s="1459"/>
      <c r="P295" s="1459"/>
      <c r="Q295" s="1459"/>
      <c r="R295" s="1459"/>
      <c r="S295" s="1459"/>
      <c r="T295" s="1459"/>
      <c r="U295" s="1459"/>
      <c r="V295" s="1459"/>
      <c r="W295" s="1459"/>
      <c r="X295" s="1459"/>
      <c r="Y295" s="1459"/>
      <c r="Z295" s="1459"/>
      <c r="AA295" s="1459"/>
      <c r="AB295" s="1459"/>
      <c r="AC295" s="1459"/>
      <c r="AD295" s="1459"/>
      <c r="AE295" s="1459"/>
      <c r="AF295" s="1459"/>
      <c r="AG295" s="1459"/>
      <c r="AH295" s="1459"/>
      <c r="AI295" s="1459"/>
      <c r="AJ295" s="1459"/>
      <c r="AK295" s="1459"/>
      <c r="AL295" s="1459"/>
      <c r="AM295" s="1459"/>
      <c r="AN295" s="1459"/>
      <c r="AO295" s="1459"/>
      <c r="AP295" s="1459"/>
      <c r="AQ295" s="1459"/>
      <c r="AR295" s="1459"/>
      <c r="AS295" s="1459"/>
      <c r="AT295" s="1459"/>
      <c r="AU295" s="1459"/>
      <c r="AV295" s="1459"/>
      <c r="AW295" s="1459"/>
      <c r="AX295" s="1459"/>
      <c r="AY295" s="1459"/>
      <c r="AZ295" s="1459"/>
      <c r="BA295" s="1459"/>
      <c r="BB295" s="1459"/>
      <c r="BC295" s="1459"/>
      <c r="BD295" s="1459"/>
      <c r="BE295" s="1459"/>
      <c r="BF295" s="1459"/>
      <c r="BG295" s="1459"/>
      <c r="BH295" s="1459"/>
      <c r="BI295" s="1459"/>
      <c r="BJ295" s="1459"/>
      <c r="BK295" s="1459"/>
      <c r="BL295" s="1459"/>
    </row>
    <row r="296" spans="1:64">
      <c r="J296" s="1459"/>
      <c r="K296" s="1459"/>
      <c r="L296" s="1459"/>
      <c r="M296" s="1459"/>
      <c r="N296" s="1459"/>
      <c r="O296" s="1459"/>
      <c r="P296" s="1459"/>
      <c r="Q296" s="1459"/>
      <c r="R296" s="1459"/>
      <c r="S296" s="1459"/>
      <c r="T296" s="1459"/>
      <c r="U296" s="1459"/>
      <c r="V296" s="1459"/>
      <c r="W296" s="1459"/>
      <c r="X296" s="1459"/>
      <c r="Y296" s="1459"/>
      <c r="Z296" s="1459"/>
      <c r="AA296" s="1459"/>
      <c r="AB296" s="1459"/>
      <c r="AC296" s="1459"/>
      <c r="AD296" s="1459"/>
      <c r="AE296" s="1459"/>
      <c r="AF296" s="1459"/>
      <c r="AG296" s="1459"/>
      <c r="AH296" s="1459"/>
      <c r="AI296" s="1459"/>
      <c r="AJ296" s="1459"/>
      <c r="AK296" s="1459"/>
      <c r="AL296" s="1459"/>
      <c r="AM296" s="1459"/>
      <c r="AN296" s="1459"/>
      <c r="AO296" s="1459"/>
      <c r="AP296" s="1459"/>
      <c r="AQ296" s="1459"/>
      <c r="AR296" s="1459"/>
      <c r="AS296" s="1459"/>
      <c r="AT296" s="1459"/>
      <c r="AU296" s="1459"/>
      <c r="AV296" s="1459"/>
      <c r="AW296" s="1459"/>
      <c r="AX296" s="1459"/>
      <c r="AY296" s="1459"/>
      <c r="AZ296" s="1459"/>
      <c r="BA296" s="1459"/>
      <c r="BB296" s="1459"/>
      <c r="BC296" s="1459"/>
      <c r="BD296" s="1459"/>
      <c r="BE296" s="1459"/>
      <c r="BF296" s="1459"/>
      <c r="BG296" s="1459"/>
      <c r="BH296" s="1459"/>
      <c r="BI296" s="1459"/>
      <c r="BJ296" s="1459"/>
      <c r="BK296" s="1459"/>
      <c r="BL296" s="1459"/>
    </row>
    <row r="297" spans="1:64">
      <c r="A297" s="1631"/>
      <c r="B297" s="1632" t="str">
        <f>Zusatzeingaben!C4</f>
        <v>Antragsteller</v>
      </c>
      <c r="C297" s="1632" t="str">
        <f>Zusatzeingaben!D4</f>
        <v>Partner(in)</v>
      </c>
      <c r="D297" s="1632" t="str">
        <f>Zusatzeingaben!E4</f>
        <v>Kind 1</v>
      </c>
      <c r="E297" s="847" t="s">
        <v>145</v>
      </c>
      <c r="F297" s="847" t="s">
        <v>146</v>
      </c>
      <c r="G297" s="847" t="s">
        <v>147</v>
      </c>
      <c r="H297" s="848" t="s">
        <v>148</v>
      </c>
      <c r="J297" s="1459"/>
      <c r="K297" s="1459"/>
      <c r="L297" s="1459"/>
      <c r="M297" s="1459"/>
      <c r="N297" s="1459"/>
      <c r="O297" s="1459"/>
      <c r="P297" s="1459"/>
      <c r="Q297" s="1459"/>
      <c r="R297" s="1459"/>
      <c r="S297" s="1459"/>
      <c r="T297" s="1459"/>
      <c r="U297" s="1459"/>
      <c r="V297" s="1459"/>
      <c r="W297" s="1459"/>
      <c r="X297" s="1459"/>
      <c r="Y297" s="1459"/>
      <c r="Z297" s="1459"/>
      <c r="AA297" s="1459"/>
      <c r="AB297" s="1459"/>
      <c r="AC297" s="1459"/>
      <c r="AD297" s="1459"/>
      <c r="AE297" s="1459"/>
      <c r="AF297" s="1459"/>
      <c r="AG297" s="1459"/>
      <c r="AH297" s="1459"/>
      <c r="AI297" s="1459"/>
      <c r="AJ297" s="1459"/>
      <c r="AK297" s="1459"/>
      <c r="AL297" s="1459"/>
      <c r="AM297" s="1459"/>
      <c r="AN297" s="1459"/>
      <c r="AO297" s="1459"/>
      <c r="AP297" s="1459"/>
      <c r="AQ297" s="1459"/>
      <c r="AR297" s="1459"/>
      <c r="AS297" s="1459"/>
      <c r="AT297" s="1459"/>
      <c r="AU297" s="1459"/>
      <c r="AV297" s="1459"/>
      <c r="AW297" s="1459"/>
      <c r="AX297" s="1459"/>
      <c r="AY297" s="1459"/>
      <c r="AZ297" s="1459"/>
      <c r="BA297" s="1459"/>
      <c r="BB297" s="1459"/>
      <c r="BC297" s="1459"/>
      <c r="BD297" s="1459"/>
      <c r="BE297" s="1459"/>
      <c r="BF297" s="1459"/>
      <c r="BG297" s="1459"/>
      <c r="BH297" s="1459"/>
      <c r="BI297" s="1459"/>
      <c r="BJ297" s="1459"/>
      <c r="BK297" s="1459"/>
      <c r="BL297" s="1459"/>
    </row>
    <row r="298" spans="1:64">
      <c r="A298" s="1633"/>
      <c r="B298" s="996"/>
      <c r="C298" s="996"/>
      <c r="D298" s="996"/>
      <c r="E298" s="996"/>
      <c r="F298" s="996"/>
      <c r="G298" s="996"/>
      <c r="H298" s="1634"/>
      <c r="J298" s="1459"/>
      <c r="K298" s="1459"/>
      <c r="L298" s="1459"/>
      <c r="M298" s="1459"/>
      <c r="N298" s="1459"/>
      <c r="O298" s="1459"/>
      <c r="P298" s="1459"/>
      <c r="Q298" s="1459"/>
      <c r="R298" s="1459"/>
      <c r="S298" s="1459"/>
      <c r="T298" s="1459"/>
      <c r="U298" s="1459"/>
      <c r="V298" s="1459"/>
      <c r="W298" s="1459"/>
      <c r="X298" s="1459"/>
      <c r="Y298" s="1459"/>
      <c r="Z298" s="1459"/>
      <c r="AA298" s="1459"/>
      <c r="AB298" s="1459"/>
      <c r="AC298" s="1459"/>
      <c r="AD298" s="1459"/>
      <c r="AE298" s="1459"/>
      <c r="AF298" s="1459"/>
      <c r="AG298" s="1459"/>
      <c r="AH298" s="1459"/>
      <c r="AI298" s="1459"/>
      <c r="AJ298" s="1459"/>
      <c r="AK298" s="1459"/>
      <c r="AL298" s="1459"/>
      <c r="AM298" s="1459"/>
      <c r="AN298" s="1459"/>
      <c r="AO298" s="1459"/>
      <c r="AP298" s="1459"/>
      <c r="AQ298" s="1459"/>
      <c r="AR298" s="1459"/>
      <c r="AS298" s="1459"/>
      <c r="AT298" s="1459"/>
      <c r="AU298" s="1459"/>
      <c r="AV298" s="1459"/>
      <c r="AW298" s="1459"/>
      <c r="AX298" s="1459"/>
      <c r="AY298" s="1459"/>
      <c r="AZ298" s="1459"/>
      <c r="BA298" s="1459"/>
      <c r="BB298" s="1459"/>
      <c r="BC298" s="1459"/>
      <c r="BD298" s="1459"/>
      <c r="BE298" s="1459"/>
      <c r="BF298" s="1459"/>
      <c r="BG298" s="1459"/>
      <c r="BH298" s="1459"/>
      <c r="BI298" s="1459"/>
      <c r="BJ298" s="1459"/>
      <c r="BK298" s="1459"/>
      <c r="BL298" s="1459"/>
    </row>
    <row r="299" spans="1:64">
      <c r="A299" s="1635" t="s">
        <v>2321</v>
      </c>
      <c r="B299" s="1636">
        <f>einmaligesEK!C36</f>
        <v>0</v>
      </c>
      <c r="C299" s="1636">
        <f>einmaligesEK!D36</f>
        <v>0</v>
      </c>
      <c r="D299" s="1636">
        <f>einmaligesEK!E36</f>
        <v>0</v>
      </c>
      <c r="E299" s="1636">
        <f>einmaligesEK!F36</f>
        <v>0</v>
      </c>
      <c r="F299" s="1636">
        <f>einmaligesEK!G36</f>
        <v>0</v>
      </c>
      <c r="G299" s="1636">
        <f>einmaligesEK!H36</f>
        <v>0</v>
      </c>
      <c r="H299" s="1636">
        <f>einmaligesEK!I36</f>
        <v>0</v>
      </c>
      <c r="J299" s="1459"/>
      <c r="K299" s="1459"/>
      <c r="L299" s="1459"/>
      <c r="M299" s="1459"/>
      <c r="N299" s="1459"/>
      <c r="O299" s="1459"/>
      <c r="P299" s="1459"/>
      <c r="Q299" s="1459"/>
      <c r="R299" s="1459"/>
      <c r="S299" s="1459"/>
      <c r="T299" s="1459"/>
      <c r="U299" s="1459"/>
      <c r="V299" s="1459"/>
      <c r="W299" s="1459"/>
      <c r="X299" s="1459"/>
      <c r="Y299" s="1459"/>
      <c r="Z299" s="1459"/>
      <c r="AA299" s="1459"/>
      <c r="AB299" s="1459"/>
      <c r="AC299" s="1459"/>
      <c r="AD299" s="1459"/>
      <c r="AE299" s="1459"/>
      <c r="AF299" s="1459"/>
      <c r="AG299" s="1459"/>
      <c r="AH299" s="1459"/>
      <c r="AI299" s="1459"/>
      <c r="AJ299" s="1459"/>
      <c r="AK299" s="1459"/>
      <c r="AL299" s="1459"/>
      <c r="AM299" s="1459"/>
      <c r="AN299" s="1459"/>
      <c r="AO299" s="1459"/>
      <c r="AP299" s="1459"/>
      <c r="AQ299" s="1459"/>
      <c r="AR299" s="1459"/>
      <c r="AS299" s="1459"/>
      <c r="AT299" s="1459"/>
      <c r="AU299" s="1459"/>
      <c r="AV299" s="1459"/>
      <c r="AW299" s="1459"/>
      <c r="AX299" s="1459"/>
      <c r="AY299" s="1459"/>
      <c r="AZ299" s="1459"/>
      <c r="BA299" s="1459"/>
      <c r="BB299" s="1459"/>
      <c r="BC299" s="1459"/>
      <c r="BD299" s="1459"/>
      <c r="BE299" s="1459"/>
      <c r="BF299" s="1459"/>
      <c r="BG299" s="1459"/>
      <c r="BH299" s="1459"/>
      <c r="BI299" s="1459"/>
      <c r="BJ299" s="1459"/>
      <c r="BK299" s="1459"/>
      <c r="BL299" s="1459"/>
    </row>
    <row r="300" spans="1:64">
      <c r="A300" s="1637" t="s">
        <v>2322</v>
      </c>
      <c r="B300" s="1636">
        <f t="shared" ref="B300:H300" si="44">IF(B299&lt;100,B299,100)</f>
        <v>0</v>
      </c>
      <c r="C300" s="1016">
        <f t="shared" si="44"/>
        <v>0</v>
      </c>
      <c r="D300" s="1016">
        <f t="shared" si="44"/>
        <v>0</v>
      </c>
      <c r="E300" s="1016">
        <f t="shared" si="44"/>
        <v>0</v>
      </c>
      <c r="F300" s="1016">
        <f t="shared" si="44"/>
        <v>0</v>
      </c>
      <c r="G300" s="1016">
        <f t="shared" si="44"/>
        <v>0</v>
      </c>
      <c r="H300" s="1017">
        <f t="shared" si="44"/>
        <v>0</v>
      </c>
      <c r="J300" s="1459"/>
      <c r="K300" s="1459"/>
      <c r="L300" s="1459"/>
      <c r="M300" s="1459"/>
      <c r="N300" s="1459"/>
      <c r="O300" s="1459"/>
      <c r="P300" s="1459"/>
      <c r="Q300" s="1459"/>
      <c r="R300" s="1459"/>
      <c r="S300" s="1459"/>
      <c r="T300" s="1459"/>
      <c r="U300" s="1459"/>
      <c r="V300" s="1459"/>
      <c r="W300" s="1459"/>
      <c r="X300" s="1459"/>
      <c r="Y300" s="1459"/>
      <c r="Z300" s="1459"/>
      <c r="AA300" s="1459"/>
      <c r="AB300" s="1459"/>
      <c r="AC300" s="1459"/>
      <c r="AD300" s="1459"/>
      <c r="AE300" s="1459"/>
      <c r="AF300" s="1459"/>
      <c r="AG300" s="1459"/>
      <c r="AH300" s="1459"/>
      <c r="AI300" s="1459"/>
      <c r="AJ300" s="1459"/>
      <c r="AK300" s="1459"/>
      <c r="AL300" s="1459"/>
      <c r="AM300" s="1459"/>
      <c r="AN300" s="1459"/>
      <c r="AO300" s="1459"/>
      <c r="AP300" s="1459"/>
      <c r="AQ300" s="1459"/>
      <c r="AR300" s="1459"/>
      <c r="AS300" s="1459"/>
      <c r="AT300" s="1459"/>
      <c r="AU300" s="1459"/>
      <c r="AV300" s="1459"/>
      <c r="AW300" s="1459"/>
      <c r="AX300" s="1459"/>
      <c r="AY300" s="1459"/>
      <c r="AZ300" s="1459"/>
      <c r="BA300" s="1459"/>
      <c r="BB300" s="1459"/>
      <c r="BC300" s="1459"/>
      <c r="BD300" s="1459"/>
      <c r="BE300" s="1459"/>
      <c r="BF300" s="1459"/>
      <c r="BG300" s="1459"/>
      <c r="BH300" s="1459"/>
      <c r="BI300" s="1459"/>
      <c r="BJ300" s="1459"/>
      <c r="BK300" s="1459"/>
      <c r="BL300" s="1459"/>
    </row>
    <row r="301" spans="1:64">
      <c r="A301" s="1637" t="s">
        <v>2323</v>
      </c>
      <c r="B301" s="1638">
        <f>D314</f>
        <v>0</v>
      </c>
      <c r="C301" s="1227">
        <f>D319</f>
        <v>0</v>
      </c>
      <c r="D301" s="1227">
        <f>D324</f>
        <v>0</v>
      </c>
      <c r="E301" s="1227">
        <f>D329</f>
        <v>0</v>
      </c>
      <c r="F301" s="1227">
        <f>D334</f>
        <v>0</v>
      </c>
      <c r="G301" s="1227">
        <f>D339</f>
        <v>0</v>
      </c>
      <c r="H301" s="1228">
        <f>D344</f>
        <v>0</v>
      </c>
      <c r="J301" s="1459"/>
      <c r="K301" s="1459"/>
      <c r="L301" s="1459"/>
      <c r="M301" s="1459"/>
      <c r="N301" s="1459"/>
      <c r="O301" s="1459"/>
      <c r="P301" s="1459"/>
      <c r="Q301" s="1459"/>
      <c r="R301" s="1459"/>
      <c r="S301" s="1459"/>
      <c r="T301" s="1459"/>
      <c r="U301" s="1459"/>
      <c r="V301" s="1459"/>
      <c r="W301" s="1459"/>
      <c r="X301" s="1459"/>
      <c r="Y301" s="1459"/>
      <c r="Z301" s="1459"/>
      <c r="AA301" s="1459"/>
      <c r="AB301" s="1459"/>
      <c r="AC301" s="1459"/>
      <c r="AD301" s="1459"/>
      <c r="AE301" s="1459"/>
      <c r="AF301" s="1459"/>
      <c r="AG301" s="1459"/>
      <c r="AH301" s="1459"/>
      <c r="AI301" s="1459"/>
      <c r="AJ301" s="1459"/>
      <c r="AK301" s="1459"/>
      <c r="AL301" s="1459"/>
      <c r="AM301" s="1459"/>
      <c r="AN301" s="1459"/>
      <c r="AO301" s="1459"/>
      <c r="AP301" s="1459"/>
      <c r="AQ301" s="1459"/>
      <c r="AR301" s="1459"/>
      <c r="AS301" s="1459"/>
      <c r="AT301" s="1459"/>
      <c r="AU301" s="1459"/>
      <c r="AV301" s="1459"/>
      <c r="AW301" s="1459"/>
      <c r="AX301" s="1459"/>
      <c r="AY301" s="1459"/>
      <c r="AZ301" s="1459"/>
      <c r="BA301" s="1459"/>
      <c r="BB301" s="1459"/>
      <c r="BC301" s="1459"/>
      <c r="BD301" s="1459"/>
      <c r="BE301" s="1459"/>
      <c r="BF301" s="1459"/>
      <c r="BG301" s="1459"/>
      <c r="BH301" s="1459"/>
      <c r="BI301" s="1459"/>
      <c r="BJ301" s="1459"/>
      <c r="BK301" s="1459"/>
      <c r="BL301" s="1459"/>
    </row>
    <row r="302" spans="1:64">
      <c r="A302" s="1635"/>
      <c r="B302" s="1639"/>
      <c r="C302" s="1008"/>
      <c r="D302" s="1008"/>
      <c r="E302" s="1008"/>
      <c r="F302" s="1008"/>
      <c r="G302" s="1008"/>
      <c r="H302" s="1009"/>
      <c r="J302" s="1459"/>
      <c r="K302" s="1459"/>
      <c r="L302" s="1459"/>
      <c r="M302" s="1459"/>
      <c r="N302" s="1459"/>
      <c r="O302" s="1459"/>
      <c r="P302" s="1459"/>
      <c r="Q302" s="1459"/>
      <c r="R302" s="1459"/>
      <c r="S302" s="1459"/>
      <c r="T302" s="1459"/>
      <c r="U302" s="1459"/>
      <c r="V302" s="1459"/>
      <c r="W302" s="1459"/>
      <c r="X302" s="1459"/>
      <c r="Y302" s="1459"/>
      <c r="Z302" s="1459"/>
      <c r="AA302" s="1459"/>
      <c r="AB302" s="1459"/>
      <c r="AC302" s="1459"/>
      <c r="AD302" s="1459"/>
      <c r="AE302" s="1459"/>
      <c r="AF302" s="1459"/>
      <c r="AG302" s="1459"/>
      <c r="AH302" s="1459"/>
      <c r="AI302" s="1459"/>
      <c r="AJ302" s="1459"/>
      <c r="AK302" s="1459"/>
      <c r="AL302" s="1459"/>
      <c r="AM302" s="1459"/>
      <c r="AN302" s="1459"/>
      <c r="AO302" s="1459"/>
      <c r="AP302" s="1459"/>
      <c r="AQ302" s="1459"/>
      <c r="AR302" s="1459"/>
      <c r="AS302" s="1459"/>
      <c r="AT302" s="1459"/>
      <c r="AU302" s="1459"/>
      <c r="AV302" s="1459"/>
      <c r="AW302" s="1459"/>
      <c r="AX302" s="1459"/>
      <c r="AY302" s="1459"/>
      <c r="AZ302" s="1459"/>
      <c r="BA302" s="1459"/>
      <c r="BB302" s="1459"/>
      <c r="BC302" s="1459"/>
      <c r="BD302" s="1459"/>
      <c r="BE302" s="1459"/>
      <c r="BF302" s="1459"/>
      <c r="BG302" s="1459"/>
      <c r="BH302" s="1459"/>
      <c r="BI302" s="1459"/>
      <c r="BJ302" s="1459"/>
      <c r="BK302" s="1459"/>
      <c r="BL302" s="1459"/>
    </row>
    <row r="303" spans="1:64">
      <c r="A303" s="1640" t="s">
        <v>2324</v>
      </c>
      <c r="B303" s="1641">
        <f t="shared" ref="B303:H303" si="45">B299-B300-B301</f>
        <v>0</v>
      </c>
      <c r="C303" s="1642">
        <f t="shared" si="45"/>
        <v>0</v>
      </c>
      <c r="D303" s="1642">
        <f t="shared" si="45"/>
        <v>0</v>
      </c>
      <c r="E303" s="1642">
        <f t="shared" si="45"/>
        <v>0</v>
      </c>
      <c r="F303" s="1642">
        <f t="shared" si="45"/>
        <v>0</v>
      </c>
      <c r="G303" s="1642">
        <f t="shared" si="45"/>
        <v>0</v>
      </c>
      <c r="H303" s="1643">
        <f t="shared" si="45"/>
        <v>0</v>
      </c>
      <c r="J303" s="1459"/>
      <c r="K303" s="1459"/>
      <c r="L303" s="1459"/>
      <c r="M303" s="1459"/>
      <c r="N303" s="1459"/>
      <c r="O303" s="1459"/>
      <c r="P303" s="1459"/>
      <c r="Q303" s="1459"/>
      <c r="R303" s="1459"/>
      <c r="S303" s="1459"/>
      <c r="T303" s="1459"/>
      <c r="U303" s="1459"/>
      <c r="V303" s="1459"/>
      <c r="W303" s="1459"/>
      <c r="X303" s="1459"/>
      <c r="Y303" s="1459"/>
      <c r="Z303" s="1459"/>
      <c r="AA303" s="1459"/>
      <c r="AB303" s="1459"/>
      <c r="AC303" s="1459"/>
      <c r="AD303" s="1459"/>
      <c r="AE303" s="1459"/>
      <c r="AF303" s="1459"/>
      <c r="AG303" s="1459"/>
      <c r="AH303" s="1459"/>
      <c r="AI303" s="1459"/>
      <c r="AJ303" s="1459"/>
      <c r="AK303" s="1459"/>
      <c r="AL303" s="1459"/>
      <c r="AM303" s="1459"/>
      <c r="AN303" s="1459"/>
      <c r="AO303" s="1459"/>
      <c r="AP303" s="1459"/>
      <c r="AQ303" s="1459"/>
      <c r="AR303" s="1459"/>
      <c r="AS303" s="1459"/>
      <c r="AT303" s="1459"/>
      <c r="AU303" s="1459"/>
      <c r="AV303" s="1459"/>
      <c r="AW303" s="1459"/>
      <c r="AX303" s="1459"/>
      <c r="AY303" s="1459"/>
      <c r="AZ303" s="1459"/>
      <c r="BA303" s="1459"/>
      <c r="BB303" s="1459"/>
      <c r="BC303" s="1459"/>
      <c r="BD303" s="1459"/>
      <c r="BE303" s="1459"/>
      <c r="BF303" s="1459"/>
      <c r="BG303" s="1459"/>
      <c r="BH303" s="1459"/>
      <c r="BI303" s="1459"/>
      <c r="BJ303" s="1459"/>
      <c r="BK303" s="1459"/>
      <c r="BL303" s="1459"/>
    </row>
    <row r="304" spans="1:64">
      <c r="B304" s="1461"/>
      <c r="C304" s="1461"/>
      <c r="D304" s="1461"/>
      <c r="E304" s="1461"/>
      <c r="F304" s="1461"/>
      <c r="G304" s="1461"/>
      <c r="H304" s="1461"/>
      <c r="J304" s="1459"/>
      <c r="K304" s="1459"/>
      <c r="L304" s="1459"/>
      <c r="M304" s="1459"/>
      <c r="N304" s="1459"/>
      <c r="O304" s="1459"/>
      <c r="P304" s="1459"/>
      <c r="Q304" s="1459"/>
      <c r="R304" s="1459"/>
      <c r="S304" s="1459"/>
      <c r="T304" s="1459"/>
      <c r="U304" s="1459"/>
      <c r="V304" s="1459"/>
      <c r="W304" s="1459"/>
      <c r="X304" s="1459"/>
      <c r="Y304" s="1459"/>
      <c r="Z304" s="1459"/>
      <c r="AA304" s="1459"/>
      <c r="AB304" s="1459"/>
      <c r="AC304" s="1459"/>
      <c r="AD304" s="1459"/>
      <c r="AE304" s="1459"/>
      <c r="AF304" s="1459"/>
      <c r="AG304" s="1459"/>
      <c r="AH304" s="1459"/>
      <c r="AI304" s="1459"/>
      <c r="AJ304" s="1459"/>
      <c r="AK304" s="1459"/>
      <c r="AL304" s="1459"/>
      <c r="AM304" s="1459"/>
      <c r="AN304" s="1459"/>
      <c r="AO304" s="1459"/>
      <c r="AP304" s="1459"/>
      <c r="AQ304" s="1459"/>
      <c r="AR304" s="1459"/>
      <c r="AS304" s="1459"/>
      <c r="AT304" s="1459"/>
      <c r="AU304" s="1459"/>
      <c r="AV304" s="1459"/>
      <c r="AW304" s="1459"/>
      <c r="AX304" s="1459"/>
      <c r="AY304" s="1459"/>
      <c r="AZ304" s="1459"/>
      <c r="BA304" s="1459"/>
      <c r="BB304" s="1459"/>
      <c r="BC304" s="1459"/>
      <c r="BD304" s="1459"/>
      <c r="BE304" s="1459"/>
      <c r="BF304" s="1459"/>
      <c r="BG304" s="1459"/>
      <c r="BH304" s="1459"/>
      <c r="BI304" s="1459"/>
      <c r="BJ304" s="1459"/>
      <c r="BK304" s="1459"/>
      <c r="BL304" s="1459"/>
    </row>
    <row r="305" spans="1:64" ht="20.100000000000001" hidden="1" customHeight="1">
      <c r="B305" s="1461"/>
      <c r="C305" s="1461"/>
      <c r="D305" s="1461"/>
      <c r="E305" s="1461"/>
      <c r="F305" s="1461"/>
      <c r="G305" s="1461"/>
      <c r="H305" s="1461"/>
      <c r="J305" s="1459"/>
      <c r="K305" s="1459"/>
      <c r="L305" s="1459"/>
      <c r="M305" s="1459"/>
      <c r="N305" s="1459"/>
      <c r="O305" s="1459"/>
      <c r="P305" s="1459"/>
      <c r="Q305" s="1459"/>
      <c r="R305" s="1459"/>
      <c r="S305" s="1459"/>
      <c r="T305" s="1459"/>
      <c r="U305" s="1459"/>
      <c r="V305" s="1459"/>
      <c r="W305" s="1459"/>
      <c r="X305" s="1459"/>
      <c r="Y305" s="1459"/>
      <c r="Z305" s="1459"/>
      <c r="AA305" s="1459"/>
      <c r="AB305" s="1459"/>
      <c r="AC305" s="1459"/>
      <c r="AD305" s="1459"/>
      <c r="AE305" s="1459"/>
      <c r="AF305" s="1459"/>
      <c r="AG305" s="1459"/>
      <c r="AH305" s="1459"/>
      <c r="AI305" s="1459"/>
      <c r="AJ305" s="1459"/>
      <c r="AK305" s="1459"/>
      <c r="AL305" s="1459"/>
      <c r="AM305" s="1459"/>
      <c r="AN305" s="1459"/>
      <c r="AO305" s="1459"/>
      <c r="AP305" s="1459"/>
      <c r="AQ305" s="1459"/>
      <c r="AR305" s="1459"/>
      <c r="AS305" s="1459"/>
      <c r="AT305" s="1459"/>
      <c r="AU305" s="1459"/>
      <c r="AV305" s="1459"/>
      <c r="AW305" s="1459"/>
      <c r="AX305" s="1459"/>
      <c r="AY305" s="1459"/>
      <c r="AZ305" s="1459"/>
      <c r="BA305" s="1459"/>
      <c r="BB305" s="1459"/>
      <c r="BC305" s="1459"/>
      <c r="BD305" s="1459"/>
      <c r="BE305" s="1459"/>
      <c r="BF305" s="1459"/>
      <c r="BG305" s="1459"/>
      <c r="BH305" s="1459"/>
      <c r="BI305" s="1459"/>
      <c r="BJ305" s="1459"/>
      <c r="BK305" s="1459"/>
      <c r="BL305" s="1459"/>
    </row>
    <row r="306" spans="1:64" ht="20.100000000000001" hidden="1" customHeight="1">
      <c r="E306" s="1461"/>
      <c r="F306" s="1461"/>
      <c r="G306" s="1461"/>
      <c r="H306" s="1461"/>
      <c r="J306" s="1459"/>
      <c r="K306" s="1459"/>
      <c r="L306" s="1459"/>
      <c r="M306" s="1459"/>
      <c r="N306" s="1459"/>
      <c r="O306" s="1459"/>
      <c r="P306" s="1459"/>
      <c r="Q306" s="1459"/>
      <c r="R306" s="1459"/>
      <c r="S306" s="1459"/>
      <c r="T306" s="1459"/>
      <c r="U306" s="1459"/>
      <c r="V306" s="1459"/>
      <c r="W306" s="1459"/>
      <c r="X306" s="1459"/>
      <c r="Y306" s="1459"/>
      <c r="Z306" s="1459"/>
      <c r="AA306" s="1459"/>
      <c r="AB306" s="1459"/>
      <c r="AC306" s="1459"/>
      <c r="AD306" s="1459"/>
      <c r="AE306" s="1459"/>
      <c r="AF306" s="1459"/>
      <c r="AG306" s="1459"/>
      <c r="AH306" s="1459"/>
      <c r="AI306" s="1459"/>
      <c r="AJ306" s="1459"/>
      <c r="AK306" s="1459"/>
      <c r="AL306" s="1459"/>
      <c r="AM306" s="1459"/>
      <c r="AN306" s="1459"/>
      <c r="AO306" s="1459"/>
      <c r="AP306" s="1459"/>
      <c r="AQ306" s="1459"/>
      <c r="AR306" s="1459"/>
      <c r="AS306" s="1459"/>
      <c r="AT306" s="1459"/>
      <c r="AU306" s="1459"/>
      <c r="AV306" s="1459"/>
      <c r="AW306" s="1459"/>
      <c r="AX306" s="1459"/>
      <c r="AY306" s="1459"/>
      <c r="AZ306" s="1459"/>
      <c r="BA306" s="1459"/>
      <c r="BB306" s="1459"/>
      <c r="BC306" s="1459"/>
      <c r="BD306" s="1459"/>
      <c r="BE306" s="1459"/>
      <c r="BF306" s="1459"/>
      <c r="BG306" s="1459"/>
      <c r="BH306" s="1459"/>
      <c r="BI306" s="1459"/>
      <c r="BJ306" s="1459"/>
      <c r="BK306" s="1459"/>
      <c r="BL306" s="1459"/>
    </row>
    <row r="307" spans="1:64" hidden="1">
      <c r="J307" s="1459"/>
      <c r="K307" s="1459"/>
      <c r="L307" s="1459"/>
      <c r="M307" s="1459"/>
      <c r="N307" s="1459"/>
      <c r="O307" s="1459"/>
      <c r="P307" s="1459"/>
      <c r="Q307" s="1459"/>
      <c r="R307" s="1459"/>
      <c r="S307" s="1459"/>
      <c r="T307" s="1459"/>
      <c r="U307" s="1459"/>
      <c r="V307" s="1459"/>
      <c r="W307" s="1459"/>
      <c r="X307" s="1459"/>
      <c r="Y307" s="1459"/>
      <c r="Z307" s="1459"/>
      <c r="AA307" s="1459"/>
      <c r="AB307" s="1459"/>
      <c r="AC307" s="1459"/>
      <c r="AD307" s="1459"/>
      <c r="AE307" s="1459"/>
      <c r="AF307" s="1459"/>
      <c r="AG307" s="1459"/>
      <c r="AH307" s="1459"/>
      <c r="AI307" s="1459"/>
      <c r="AJ307" s="1459"/>
      <c r="AK307" s="1459"/>
      <c r="AL307" s="1459"/>
      <c r="AM307" s="1459"/>
      <c r="AN307" s="1459"/>
      <c r="AO307" s="1459"/>
      <c r="AP307" s="1459"/>
      <c r="AQ307" s="1459"/>
      <c r="AR307" s="1459"/>
      <c r="AS307" s="1459"/>
      <c r="AT307" s="1459"/>
      <c r="AU307" s="1459"/>
      <c r="AV307" s="1459"/>
      <c r="AW307" s="1459"/>
      <c r="AX307" s="1459"/>
      <c r="AY307" s="1459"/>
      <c r="AZ307" s="1459"/>
      <c r="BA307" s="1459"/>
      <c r="BB307" s="1459"/>
      <c r="BC307" s="1459"/>
      <c r="BD307" s="1459"/>
      <c r="BE307" s="1459"/>
      <c r="BF307" s="1459"/>
      <c r="BG307" s="1459"/>
      <c r="BH307" s="1459"/>
      <c r="BI307" s="1459"/>
      <c r="BJ307" s="1459"/>
      <c r="BK307" s="1459"/>
      <c r="BL307" s="1459"/>
    </row>
    <row r="308" spans="1:64">
      <c r="J308" s="1459"/>
      <c r="K308" s="1459"/>
      <c r="L308" s="1459"/>
      <c r="M308" s="1459"/>
      <c r="N308" s="1459"/>
      <c r="O308" s="1459"/>
      <c r="P308" s="1459"/>
      <c r="Q308" s="1459"/>
      <c r="R308" s="1459"/>
      <c r="S308" s="1459"/>
      <c r="T308" s="1459"/>
      <c r="U308" s="1459"/>
      <c r="V308" s="1459"/>
      <c r="W308" s="1459"/>
      <c r="X308" s="1459"/>
      <c r="Y308" s="1459"/>
      <c r="Z308" s="1459"/>
      <c r="AA308" s="1459"/>
      <c r="AB308" s="1459"/>
      <c r="AC308" s="1459"/>
      <c r="AD308" s="1459"/>
      <c r="AE308" s="1459"/>
      <c r="AF308" s="1459"/>
      <c r="AG308" s="1459"/>
      <c r="AH308" s="1459"/>
      <c r="AI308" s="1459"/>
      <c r="AJ308" s="1459"/>
      <c r="AK308" s="1459"/>
      <c r="AL308" s="1459"/>
      <c r="AM308" s="1459"/>
      <c r="AN308" s="1459"/>
      <c r="AO308" s="1459"/>
      <c r="AP308" s="1459"/>
      <c r="AQ308" s="1459"/>
      <c r="AR308" s="1459"/>
      <c r="AS308" s="1459"/>
      <c r="AT308" s="1459"/>
      <c r="AU308" s="1459"/>
      <c r="AV308" s="1459"/>
      <c r="AW308" s="1459"/>
      <c r="AX308" s="1459"/>
      <c r="AY308" s="1459"/>
      <c r="AZ308" s="1459"/>
      <c r="BA308" s="1459"/>
      <c r="BB308" s="1459"/>
      <c r="BC308" s="1459"/>
      <c r="BD308" s="1459"/>
      <c r="BE308" s="1459"/>
      <c r="BF308" s="1459"/>
      <c r="BG308" s="1459"/>
      <c r="BH308" s="1459"/>
      <c r="BI308" s="1459"/>
      <c r="BJ308" s="1459"/>
      <c r="BK308" s="1459"/>
      <c r="BL308" s="1459"/>
    </row>
    <row r="309" spans="1:64">
      <c r="A309" s="1612" t="s">
        <v>2335</v>
      </c>
      <c r="B309" s="1613"/>
      <c r="C309" s="1613"/>
      <c r="D309" s="1613"/>
      <c r="E309" s="1613"/>
      <c r="J309" s="1459"/>
      <c r="K309" s="1459"/>
      <c r="L309" s="1459"/>
      <c r="M309" s="1459"/>
      <c r="N309" s="1459"/>
      <c r="O309" s="1459"/>
      <c r="P309" s="1459"/>
      <c r="Q309" s="1459"/>
      <c r="R309" s="1459"/>
      <c r="S309" s="1459"/>
      <c r="T309" s="1459"/>
      <c r="U309" s="1459"/>
      <c r="V309" s="1459"/>
      <c r="W309" s="1459"/>
      <c r="X309" s="1459"/>
      <c r="Y309" s="1459"/>
      <c r="Z309" s="1459"/>
      <c r="AA309" s="1459"/>
      <c r="AB309" s="1459"/>
      <c r="AC309" s="1459"/>
      <c r="AD309" s="1459"/>
      <c r="AE309" s="1459"/>
      <c r="AF309" s="1459"/>
      <c r="AG309" s="1459"/>
      <c r="AH309" s="1459"/>
      <c r="AI309" s="1459"/>
      <c r="AJ309" s="1459"/>
      <c r="AK309" s="1459"/>
      <c r="AL309" s="1459"/>
      <c r="AM309" s="1459"/>
      <c r="AN309" s="1459"/>
      <c r="AO309" s="1459"/>
      <c r="AP309" s="1459"/>
      <c r="AQ309" s="1459"/>
      <c r="AR309" s="1459"/>
      <c r="AS309" s="1459"/>
      <c r="AT309" s="1459"/>
      <c r="AU309" s="1459"/>
      <c r="AV309" s="1459"/>
      <c r="AW309" s="1459"/>
      <c r="AX309" s="1459"/>
      <c r="AY309" s="1459"/>
      <c r="AZ309" s="1459"/>
      <c r="BA309" s="1459"/>
      <c r="BB309" s="1459"/>
      <c r="BC309" s="1459"/>
      <c r="BD309" s="1459"/>
      <c r="BE309" s="1459"/>
      <c r="BF309" s="1459"/>
      <c r="BG309" s="1459"/>
      <c r="BH309" s="1459"/>
      <c r="BI309" s="1459"/>
      <c r="BJ309" s="1459"/>
      <c r="BK309" s="1459"/>
      <c r="BL309" s="1459"/>
    </row>
    <row r="310" spans="1:64">
      <c r="J310" s="1459"/>
      <c r="K310" s="1459"/>
      <c r="L310" s="1459"/>
      <c r="M310" s="1459"/>
      <c r="N310" s="1459"/>
      <c r="O310" s="1459"/>
      <c r="P310" s="1459"/>
      <c r="Q310" s="1459"/>
      <c r="R310" s="1459"/>
      <c r="S310" s="1459"/>
      <c r="T310" s="1459"/>
      <c r="U310" s="1459"/>
      <c r="V310" s="1459"/>
      <c r="W310" s="1459"/>
      <c r="X310" s="1459"/>
      <c r="Y310" s="1459"/>
      <c r="Z310" s="1459"/>
      <c r="AA310" s="1459"/>
      <c r="AB310" s="1459"/>
      <c r="AC310" s="1459"/>
      <c r="AD310" s="1459"/>
      <c r="AE310" s="1459"/>
      <c r="AF310" s="1459"/>
      <c r="AG310" s="1459"/>
      <c r="AH310" s="1459"/>
      <c r="AI310" s="1459"/>
      <c r="AJ310" s="1459"/>
      <c r="AK310" s="1459"/>
      <c r="AL310" s="1459"/>
      <c r="AM310" s="1459"/>
      <c r="AN310" s="1459"/>
      <c r="AO310" s="1459"/>
      <c r="AP310" s="1459"/>
      <c r="AQ310" s="1459"/>
      <c r="AR310" s="1459"/>
      <c r="AS310" s="1459"/>
      <c r="AT310" s="1459"/>
      <c r="AU310" s="1459"/>
      <c r="AV310" s="1459"/>
      <c r="AW310" s="1459"/>
      <c r="AX310" s="1459"/>
      <c r="AY310" s="1459"/>
      <c r="AZ310" s="1459"/>
      <c r="BA310" s="1459"/>
      <c r="BB310" s="1459"/>
      <c r="BC310" s="1459"/>
      <c r="BD310" s="1459"/>
      <c r="BE310" s="1459"/>
      <c r="BF310" s="1459"/>
      <c r="BG310" s="1459"/>
      <c r="BH310" s="1459"/>
      <c r="BI310" s="1459"/>
      <c r="BJ310" s="1459"/>
      <c r="BK310" s="1459"/>
      <c r="BL310" s="1459"/>
    </row>
    <row r="311" spans="1:64">
      <c r="A311" s="1619" t="s">
        <v>2183</v>
      </c>
      <c r="B311" s="1620"/>
      <c r="C311" s="1621"/>
      <c r="D311" s="1442"/>
      <c r="J311" s="1459"/>
      <c r="K311" s="1459"/>
      <c r="L311" s="1459"/>
      <c r="M311" s="1459"/>
      <c r="N311" s="1459"/>
      <c r="O311" s="1459"/>
      <c r="P311" s="1459"/>
      <c r="Q311" s="1459"/>
      <c r="R311" s="1459"/>
      <c r="S311" s="1459"/>
      <c r="T311" s="1459"/>
      <c r="U311" s="1459"/>
      <c r="V311" s="1459"/>
      <c r="W311" s="1459"/>
      <c r="X311" s="1459"/>
      <c r="Y311" s="1459"/>
      <c r="Z311" s="1459"/>
      <c r="AA311" s="1459"/>
      <c r="AB311" s="1459"/>
      <c r="AC311" s="1459"/>
      <c r="AD311" s="1459"/>
      <c r="AE311" s="1459"/>
      <c r="AF311" s="1459"/>
      <c r="AG311" s="1459"/>
      <c r="AH311" s="1459"/>
      <c r="AI311" s="1459"/>
      <c r="AJ311" s="1459"/>
      <c r="AK311" s="1459"/>
      <c r="AL311" s="1459"/>
      <c r="AM311" s="1459"/>
      <c r="AN311" s="1459"/>
      <c r="AO311" s="1459"/>
      <c r="AP311" s="1459"/>
      <c r="AQ311" s="1459"/>
      <c r="AR311" s="1459"/>
      <c r="AS311" s="1459"/>
      <c r="AT311" s="1459"/>
      <c r="AU311" s="1459"/>
      <c r="AV311" s="1459"/>
      <c r="AW311" s="1459"/>
      <c r="AX311" s="1459"/>
      <c r="AY311" s="1459"/>
      <c r="AZ311" s="1459"/>
      <c r="BA311" s="1459"/>
      <c r="BB311" s="1459"/>
      <c r="BC311" s="1459"/>
      <c r="BD311" s="1459"/>
      <c r="BE311" s="1459"/>
      <c r="BF311" s="1459"/>
      <c r="BG311" s="1459"/>
      <c r="BH311" s="1459"/>
      <c r="BI311" s="1459"/>
      <c r="BJ311" s="1459"/>
      <c r="BK311" s="1459"/>
      <c r="BL311" s="1459"/>
    </row>
    <row r="312" spans="1:64">
      <c r="A312" s="1623" t="s">
        <v>2184</v>
      </c>
      <c r="B312" s="1249">
        <f>IF(einmaligesEK!C35&lt;=100,0,IF(einmaligesEK!C35&lt;=1000,einmaligesEK!C35-100,IF(einmaligesEK!C35&gt;1000,1000-100)))</f>
        <v>0</v>
      </c>
      <c r="C312" s="869" t="s">
        <v>2185</v>
      </c>
      <c r="D312" s="1624">
        <f>B312*20/100</f>
        <v>0</v>
      </c>
      <c r="J312" s="1459"/>
      <c r="K312" s="1459"/>
      <c r="L312" s="1459"/>
      <c r="M312" s="1459"/>
      <c r="N312" s="1459"/>
      <c r="O312" s="1459"/>
      <c r="P312" s="1459"/>
      <c r="Q312" s="1459"/>
      <c r="R312" s="1459"/>
      <c r="S312" s="1459"/>
      <c r="T312" s="1459"/>
      <c r="U312" s="1459"/>
      <c r="V312" s="1459"/>
      <c r="W312" s="1459"/>
      <c r="X312" s="1459"/>
      <c r="Y312" s="1459"/>
      <c r="Z312" s="1459"/>
      <c r="AA312" s="1459"/>
      <c r="AB312" s="1459"/>
      <c r="AC312" s="1459"/>
      <c r="AD312" s="1459"/>
      <c r="AE312" s="1459"/>
      <c r="AF312" s="1459"/>
      <c r="AG312" s="1459"/>
      <c r="AH312" s="1459"/>
      <c r="AI312" s="1459"/>
      <c r="AJ312" s="1459"/>
      <c r="AK312" s="1459"/>
      <c r="AL312" s="1459"/>
      <c r="AM312" s="1459"/>
      <c r="AN312" s="1459"/>
      <c r="AO312" s="1459"/>
      <c r="AP312" s="1459"/>
      <c r="AQ312" s="1459"/>
      <c r="AR312" s="1459"/>
      <c r="AS312" s="1459"/>
      <c r="AT312" s="1459"/>
      <c r="AU312" s="1459"/>
      <c r="AV312" s="1459"/>
      <c r="AW312" s="1459"/>
      <c r="AX312" s="1459"/>
      <c r="AY312" s="1459"/>
      <c r="AZ312" s="1459"/>
      <c r="BA312" s="1459"/>
      <c r="BB312" s="1459"/>
      <c r="BC312" s="1459"/>
      <c r="BD312" s="1459"/>
      <c r="BE312" s="1459"/>
      <c r="BF312" s="1459"/>
      <c r="BG312" s="1459"/>
      <c r="BH312" s="1459"/>
      <c r="BI312" s="1459"/>
      <c r="BJ312" s="1459"/>
      <c r="BK312" s="1459"/>
      <c r="BL312" s="1459"/>
    </row>
    <row r="313" spans="1:64" ht="20.100000000000001" customHeight="1">
      <c r="A313" s="1623" t="s">
        <v>2186</v>
      </c>
      <c r="B313" s="1249">
        <f>IF(einmaligesEK!C35&lt;1000.01,0,IF(AND(einmaligesEK!C35&gt;1000,einmaligesEK!C35&lt;=1200),einmaligesEK!C35-B312-100,IF(AND(einmaligesEK!C35&gt;1200,C8="ja",einmaligesEK!C35&lt;=1500),einmaligesEK!C35-B312-100,IF(AND(einmaligesEK!C35&gt;1200,C8="nein",einmaligesEK!C35&lt;=1500),1200-B312-100,IF(AND(einmaligesEK!C35&gt;=1500,C8="ja"),1500-B312-100,IF(AND(einmaligesEK!C35&gt;1500,C8="nein"),1200-B312-100))))))</f>
        <v>0</v>
      </c>
      <c r="C313" s="869" t="s">
        <v>2187</v>
      </c>
      <c r="D313" s="1624">
        <f>B313*10/100</f>
        <v>0</v>
      </c>
      <c r="J313" s="1459"/>
      <c r="K313" s="1459"/>
      <c r="L313" s="1459"/>
      <c r="M313" s="1459"/>
      <c r="N313" s="1459"/>
      <c r="O313" s="1459"/>
      <c r="P313" s="1459"/>
      <c r="Q313" s="1459"/>
      <c r="R313" s="1459"/>
      <c r="S313" s="1459"/>
      <c r="T313" s="1459"/>
      <c r="U313" s="1459"/>
      <c r="V313" s="1459"/>
      <c r="W313" s="1459"/>
      <c r="X313" s="1459"/>
      <c r="Y313" s="1459"/>
      <c r="Z313" s="1459"/>
      <c r="AA313" s="1459"/>
      <c r="AB313" s="1459"/>
      <c r="AC313" s="1459"/>
      <c r="AD313" s="1459"/>
      <c r="AE313" s="1459"/>
      <c r="AF313" s="1459"/>
      <c r="AG313" s="1459"/>
      <c r="AH313" s="1459"/>
      <c r="AI313" s="1459"/>
      <c r="AJ313" s="1459"/>
      <c r="AK313" s="1459"/>
      <c r="AL313" s="1459"/>
      <c r="AM313" s="1459"/>
      <c r="AN313" s="1459"/>
      <c r="AO313" s="1459"/>
      <c r="AP313" s="1459"/>
      <c r="AQ313" s="1459"/>
      <c r="AR313" s="1459"/>
      <c r="AS313" s="1459"/>
      <c r="AT313" s="1459"/>
      <c r="AU313" s="1459"/>
      <c r="AV313" s="1459"/>
      <c r="AW313" s="1459"/>
      <c r="AX313" s="1459"/>
      <c r="AY313" s="1459"/>
      <c r="AZ313" s="1459"/>
      <c r="BA313" s="1459"/>
      <c r="BB313" s="1459"/>
      <c r="BC313" s="1459"/>
      <c r="BD313" s="1459"/>
      <c r="BE313" s="1459"/>
      <c r="BF313" s="1459"/>
      <c r="BG313" s="1459"/>
      <c r="BH313" s="1459"/>
      <c r="BI313" s="1459"/>
      <c r="BJ313" s="1459"/>
      <c r="BK313" s="1459"/>
      <c r="BL313" s="1459"/>
    </row>
    <row r="314" spans="1:64">
      <c r="A314" s="1625" t="s">
        <v>141</v>
      </c>
      <c r="B314" s="1445"/>
      <c r="C314" s="1445"/>
      <c r="D314" s="1626">
        <f>SUM(D312:D313)</f>
        <v>0</v>
      </c>
      <c r="J314" s="1459"/>
      <c r="K314" s="1459"/>
      <c r="L314" s="1459"/>
      <c r="M314" s="1459"/>
      <c r="N314" s="1459"/>
      <c r="O314" s="1459"/>
      <c r="P314" s="1459"/>
      <c r="Q314" s="1459"/>
      <c r="R314" s="1459"/>
      <c r="S314" s="1459"/>
      <c r="T314" s="1459"/>
      <c r="U314" s="1459"/>
      <c r="V314" s="1459"/>
      <c r="W314" s="1459"/>
      <c r="X314" s="1459"/>
      <c r="Y314" s="1459"/>
      <c r="Z314" s="1459"/>
      <c r="AA314" s="1459"/>
      <c r="AB314" s="1459"/>
      <c r="AC314" s="1459"/>
      <c r="AD314" s="1459"/>
      <c r="AE314" s="1459"/>
      <c r="AF314" s="1459"/>
      <c r="AG314" s="1459"/>
      <c r="AH314" s="1459"/>
      <c r="AI314" s="1459"/>
      <c r="AJ314" s="1459"/>
      <c r="AK314" s="1459"/>
      <c r="AL314" s="1459"/>
      <c r="AM314" s="1459"/>
      <c r="AN314" s="1459"/>
      <c r="AO314" s="1459"/>
      <c r="AP314" s="1459"/>
      <c r="AQ314" s="1459"/>
      <c r="AR314" s="1459"/>
      <c r="AS314" s="1459"/>
      <c r="AT314" s="1459"/>
      <c r="AU314" s="1459"/>
      <c r="AV314" s="1459"/>
      <c r="AW314" s="1459"/>
      <c r="AX314" s="1459"/>
      <c r="AY314" s="1459"/>
      <c r="AZ314" s="1459"/>
      <c r="BA314" s="1459"/>
      <c r="BB314" s="1459"/>
      <c r="BC314" s="1459"/>
      <c r="BD314" s="1459"/>
      <c r="BE314" s="1459"/>
      <c r="BF314" s="1459"/>
      <c r="BG314" s="1459"/>
      <c r="BH314" s="1459"/>
      <c r="BI314" s="1459"/>
      <c r="BJ314" s="1459"/>
      <c r="BK314" s="1459"/>
      <c r="BL314" s="1459"/>
    </row>
    <row r="315" spans="1:64">
      <c r="J315" s="1459"/>
      <c r="K315" s="1459"/>
      <c r="L315" s="1459"/>
      <c r="M315" s="1459"/>
      <c r="N315" s="1459"/>
      <c r="O315" s="1459"/>
      <c r="P315" s="1459"/>
      <c r="Q315" s="1459"/>
      <c r="R315" s="1459"/>
      <c r="S315" s="1459"/>
      <c r="T315" s="1459"/>
      <c r="U315" s="1459"/>
      <c r="V315" s="1459"/>
      <c r="W315" s="1459"/>
      <c r="X315" s="1459"/>
      <c r="Y315" s="1459"/>
      <c r="Z315" s="1459"/>
      <c r="AA315" s="1459"/>
      <c r="AB315" s="1459"/>
      <c r="AC315" s="1459"/>
      <c r="AD315" s="1459"/>
      <c r="AE315" s="1459"/>
      <c r="AF315" s="1459"/>
      <c r="AG315" s="1459"/>
      <c r="AH315" s="1459"/>
      <c r="AI315" s="1459"/>
      <c r="AJ315" s="1459"/>
      <c r="AK315" s="1459"/>
      <c r="AL315" s="1459"/>
      <c r="AM315" s="1459"/>
      <c r="AN315" s="1459"/>
      <c r="AO315" s="1459"/>
      <c r="AP315" s="1459"/>
      <c r="AQ315" s="1459"/>
      <c r="AR315" s="1459"/>
      <c r="AS315" s="1459"/>
      <c r="AT315" s="1459"/>
      <c r="AU315" s="1459"/>
      <c r="AV315" s="1459"/>
      <c r="AW315" s="1459"/>
      <c r="AX315" s="1459"/>
      <c r="AY315" s="1459"/>
      <c r="AZ315" s="1459"/>
      <c r="BA315" s="1459"/>
      <c r="BB315" s="1459"/>
      <c r="BC315" s="1459"/>
      <c r="BD315" s="1459"/>
      <c r="BE315" s="1459"/>
      <c r="BF315" s="1459"/>
      <c r="BG315" s="1459"/>
      <c r="BH315" s="1459"/>
      <c r="BI315" s="1459"/>
      <c r="BJ315" s="1459"/>
      <c r="BK315" s="1459"/>
      <c r="BL315" s="1459"/>
    </row>
    <row r="316" spans="1:64">
      <c r="A316" s="1619" t="s">
        <v>2188</v>
      </c>
      <c r="B316" s="1620"/>
      <c r="C316" s="1621"/>
      <c r="D316" s="1442"/>
      <c r="J316" s="1459"/>
      <c r="K316" s="1459"/>
      <c r="L316" s="1459"/>
      <c r="M316" s="1459"/>
      <c r="N316" s="1459"/>
      <c r="O316" s="1459"/>
      <c r="P316" s="1459"/>
      <c r="Q316" s="1459"/>
      <c r="R316" s="1459"/>
      <c r="S316" s="1459"/>
      <c r="T316" s="1459"/>
      <c r="U316" s="1459"/>
      <c r="V316" s="1459"/>
      <c r="W316" s="1459"/>
      <c r="X316" s="1459"/>
      <c r="Y316" s="1459"/>
      <c r="Z316" s="1459"/>
      <c r="AA316" s="1459"/>
      <c r="AB316" s="1459"/>
      <c r="AC316" s="1459"/>
      <c r="AD316" s="1459"/>
      <c r="AE316" s="1459"/>
      <c r="AF316" s="1459"/>
      <c r="AG316" s="1459"/>
      <c r="AH316" s="1459"/>
      <c r="AI316" s="1459"/>
      <c r="AJ316" s="1459"/>
      <c r="AK316" s="1459"/>
      <c r="AL316" s="1459"/>
      <c r="AM316" s="1459"/>
      <c r="AN316" s="1459"/>
      <c r="AO316" s="1459"/>
      <c r="AP316" s="1459"/>
      <c r="AQ316" s="1459"/>
      <c r="AR316" s="1459"/>
      <c r="AS316" s="1459"/>
      <c r="AT316" s="1459"/>
      <c r="AU316" s="1459"/>
      <c r="AV316" s="1459"/>
      <c r="AW316" s="1459"/>
      <c r="AX316" s="1459"/>
      <c r="AY316" s="1459"/>
      <c r="AZ316" s="1459"/>
      <c r="BA316" s="1459"/>
      <c r="BB316" s="1459"/>
      <c r="BC316" s="1459"/>
      <c r="BD316" s="1459"/>
      <c r="BE316" s="1459"/>
      <c r="BF316" s="1459"/>
      <c r="BG316" s="1459"/>
      <c r="BH316" s="1459"/>
      <c r="BI316" s="1459"/>
      <c r="BJ316" s="1459"/>
      <c r="BK316" s="1459"/>
      <c r="BL316" s="1459"/>
    </row>
    <row r="317" spans="1:64">
      <c r="A317" s="1623" t="s">
        <v>2184</v>
      </c>
      <c r="B317" s="1249">
        <f>IF(einmaligesEK!D35&lt;=100,0,IF(einmaligesEK!D35&lt;=1000,einmaligesEK!D35-100,IF(einmaligesEK!D35&gt;1000,1000-100)))</f>
        <v>0</v>
      </c>
      <c r="C317" s="869" t="s">
        <v>2185</v>
      </c>
      <c r="D317" s="1624">
        <f>B317*20/100</f>
        <v>0</v>
      </c>
      <c r="J317" s="1459"/>
      <c r="K317" s="1459"/>
      <c r="L317" s="1459"/>
      <c r="M317" s="1459"/>
      <c r="N317" s="1459"/>
      <c r="O317" s="1459"/>
      <c r="P317" s="1459"/>
      <c r="Q317" s="1459"/>
      <c r="R317" s="1459"/>
      <c r="S317" s="1459"/>
      <c r="T317" s="1459"/>
      <c r="U317" s="1459"/>
      <c r="V317" s="1459"/>
      <c r="W317" s="1459"/>
      <c r="X317" s="1459"/>
      <c r="Y317" s="1459"/>
      <c r="Z317" s="1459"/>
      <c r="AA317" s="1459"/>
      <c r="AB317" s="1459"/>
      <c r="AC317" s="1459"/>
      <c r="AD317" s="1459"/>
      <c r="AE317" s="1459"/>
      <c r="AF317" s="1459"/>
      <c r="AG317" s="1459"/>
      <c r="AH317" s="1459"/>
      <c r="AI317" s="1459"/>
      <c r="AJ317" s="1459"/>
      <c r="AK317" s="1459"/>
      <c r="AL317" s="1459"/>
      <c r="AM317" s="1459"/>
      <c r="AN317" s="1459"/>
      <c r="AO317" s="1459"/>
      <c r="AP317" s="1459"/>
      <c r="AQ317" s="1459"/>
      <c r="AR317" s="1459"/>
      <c r="AS317" s="1459"/>
      <c r="AT317" s="1459"/>
      <c r="AU317" s="1459"/>
      <c r="AV317" s="1459"/>
      <c r="AW317" s="1459"/>
      <c r="AX317" s="1459"/>
      <c r="AY317" s="1459"/>
      <c r="AZ317" s="1459"/>
      <c r="BA317" s="1459"/>
      <c r="BB317" s="1459"/>
      <c r="BC317" s="1459"/>
      <c r="BD317" s="1459"/>
      <c r="BE317" s="1459"/>
      <c r="BF317" s="1459"/>
      <c r="BG317" s="1459"/>
      <c r="BH317" s="1459"/>
      <c r="BI317" s="1459"/>
      <c r="BJ317" s="1459"/>
      <c r="BK317" s="1459"/>
      <c r="BL317" s="1459"/>
    </row>
    <row r="318" spans="1:64" ht="20.100000000000001" customHeight="1">
      <c r="A318" s="1623" t="s">
        <v>2186</v>
      </c>
      <c r="B318" s="1249">
        <f>IF(einmaligesEK!D35&lt;1000.01,0,IF(AND(einmaligesEK!D35&gt;1000,einmaligesEK!D35&lt;=1200),einmaligesEK!D35-B317-100,IF(AND(einmaligesEK!D35&gt;1200,D8="ja",einmaligesEK!D35&lt;=1500),einmaligesEK!D35-B317-100,IF(AND(einmaligesEK!D35&gt;1200,D8="nein",einmaligesEK!D35&lt;=1500),1200-B317-100,IF(AND(einmaligesEK!D35&gt;=1500,D8="ja"),1500-B317-100,IF(AND(einmaligesEK!D35&gt;1500,D8="nein"),1200-B317-100))))))</f>
        <v>0</v>
      </c>
      <c r="C318" s="869" t="s">
        <v>2187</v>
      </c>
      <c r="D318" s="1624">
        <f>B318*10/100</f>
        <v>0</v>
      </c>
      <c r="J318" s="1459"/>
      <c r="K318" s="1459"/>
      <c r="L318" s="1459"/>
      <c r="M318" s="1459"/>
      <c r="N318" s="1459"/>
      <c r="O318" s="1459"/>
      <c r="P318" s="1459"/>
      <c r="Q318" s="1459"/>
      <c r="R318" s="1459"/>
      <c r="S318" s="1459"/>
      <c r="T318" s="1459"/>
      <c r="U318" s="1459"/>
      <c r="V318" s="1459"/>
      <c r="W318" s="1459"/>
      <c r="X318" s="1459"/>
      <c r="Y318" s="1459"/>
      <c r="Z318" s="1459"/>
      <c r="AA318" s="1459"/>
      <c r="AB318" s="1459"/>
      <c r="AC318" s="1459"/>
      <c r="AD318" s="1459"/>
      <c r="AE318" s="1459"/>
      <c r="AF318" s="1459"/>
      <c r="AG318" s="1459"/>
      <c r="AH318" s="1459"/>
      <c r="AI318" s="1459"/>
      <c r="AJ318" s="1459"/>
      <c r="AK318" s="1459"/>
      <c r="AL318" s="1459"/>
      <c r="AM318" s="1459"/>
      <c r="AN318" s="1459"/>
      <c r="AO318" s="1459"/>
      <c r="AP318" s="1459"/>
      <c r="AQ318" s="1459"/>
      <c r="AR318" s="1459"/>
      <c r="AS318" s="1459"/>
      <c r="AT318" s="1459"/>
      <c r="AU318" s="1459"/>
      <c r="AV318" s="1459"/>
      <c r="AW318" s="1459"/>
      <c r="AX318" s="1459"/>
      <c r="AY318" s="1459"/>
      <c r="AZ318" s="1459"/>
      <c r="BA318" s="1459"/>
      <c r="BB318" s="1459"/>
      <c r="BC318" s="1459"/>
      <c r="BD318" s="1459"/>
      <c r="BE318" s="1459"/>
      <c r="BF318" s="1459"/>
      <c r="BG318" s="1459"/>
      <c r="BH318" s="1459"/>
      <c r="BI318" s="1459"/>
      <c r="BJ318" s="1459"/>
      <c r="BK318" s="1459"/>
      <c r="BL318" s="1459"/>
    </row>
    <row r="319" spans="1:64">
      <c r="A319" s="1625" t="s">
        <v>141</v>
      </c>
      <c r="B319" s="1445"/>
      <c r="C319" s="1445"/>
      <c r="D319" s="1626">
        <f>SUM(D317:D318)</f>
        <v>0</v>
      </c>
      <c r="J319" s="1459"/>
      <c r="K319" s="1459"/>
      <c r="L319" s="1459"/>
      <c r="M319" s="1459"/>
      <c r="N319" s="1459"/>
      <c r="O319" s="1459"/>
      <c r="P319" s="1459"/>
      <c r="Q319" s="1459"/>
      <c r="R319" s="1459"/>
      <c r="S319" s="1459"/>
      <c r="T319" s="1459"/>
      <c r="U319" s="1459"/>
      <c r="V319" s="1459"/>
      <c r="W319" s="1459"/>
      <c r="X319" s="1459"/>
      <c r="Y319" s="1459"/>
      <c r="Z319" s="1459"/>
      <c r="AA319" s="1459"/>
      <c r="AB319" s="1459"/>
      <c r="AC319" s="1459"/>
      <c r="AD319" s="1459"/>
      <c r="AE319" s="1459"/>
      <c r="AF319" s="1459"/>
      <c r="AG319" s="1459"/>
      <c r="AH319" s="1459"/>
      <c r="AI319" s="1459"/>
      <c r="AJ319" s="1459"/>
      <c r="AK319" s="1459"/>
      <c r="AL319" s="1459"/>
      <c r="AM319" s="1459"/>
      <c r="AN319" s="1459"/>
      <c r="AO319" s="1459"/>
      <c r="AP319" s="1459"/>
      <c r="AQ319" s="1459"/>
      <c r="AR319" s="1459"/>
      <c r="AS319" s="1459"/>
      <c r="AT319" s="1459"/>
      <c r="AU319" s="1459"/>
      <c r="AV319" s="1459"/>
      <c r="AW319" s="1459"/>
      <c r="AX319" s="1459"/>
      <c r="AY319" s="1459"/>
      <c r="AZ319" s="1459"/>
      <c r="BA319" s="1459"/>
      <c r="BB319" s="1459"/>
      <c r="BC319" s="1459"/>
      <c r="BD319" s="1459"/>
      <c r="BE319" s="1459"/>
      <c r="BF319" s="1459"/>
      <c r="BG319" s="1459"/>
      <c r="BH319" s="1459"/>
      <c r="BI319" s="1459"/>
      <c r="BJ319" s="1459"/>
      <c r="BK319" s="1459"/>
      <c r="BL319" s="1459"/>
    </row>
    <row r="320" spans="1:64">
      <c r="J320" s="1459"/>
      <c r="K320" s="1459"/>
      <c r="L320" s="1459"/>
      <c r="M320" s="1459"/>
      <c r="N320" s="1459"/>
      <c r="O320" s="1459"/>
      <c r="P320" s="1459"/>
      <c r="Q320" s="1459"/>
      <c r="R320" s="1459"/>
      <c r="S320" s="1459"/>
      <c r="T320" s="1459"/>
      <c r="U320" s="1459"/>
      <c r="V320" s="1459"/>
      <c r="W320" s="1459"/>
      <c r="X320" s="1459"/>
      <c r="Y320" s="1459"/>
      <c r="Z320" s="1459"/>
      <c r="AA320" s="1459"/>
      <c r="AB320" s="1459"/>
      <c r="AC320" s="1459"/>
      <c r="AD320" s="1459"/>
      <c r="AE320" s="1459"/>
      <c r="AF320" s="1459"/>
      <c r="AG320" s="1459"/>
      <c r="AH320" s="1459"/>
      <c r="AI320" s="1459"/>
      <c r="AJ320" s="1459"/>
      <c r="AK320" s="1459"/>
      <c r="AL320" s="1459"/>
      <c r="AM320" s="1459"/>
      <c r="AN320" s="1459"/>
      <c r="AO320" s="1459"/>
      <c r="AP320" s="1459"/>
      <c r="AQ320" s="1459"/>
      <c r="AR320" s="1459"/>
      <c r="AS320" s="1459"/>
      <c r="AT320" s="1459"/>
      <c r="AU320" s="1459"/>
      <c r="AV320" s="1459"/>
      <c r="AW320" s="1459"/>
      <c r="AX320" s="1459"/>
      <c r="AY320" s="1459"/>
      <c r="AZ320" s="1459"/>
      <c r="BA320" s="1459"/>
      <c r="BB320" s="1459"/>
      <c r="BC320" s="1459"/>
      <c r="BD320" s="1459"/>
      <c r="BE320" s="1459"/>
      <c r="BF320" s="1459"/>
      <c r="BG320" s="1459"/>
      <c r="BH320" s="1459"/>
      <c r="BI320" s="1459"/>
      <c r="BJ320" s="1459"/>
      <c r="BK320" s="1459"/>
      <c r="BL320" s="1459"/>
    </row>
    <row r="321" spans="1:64">
      <c r="A321" s="1619" t="s">
        <v>2189</v>
      </c>
      <c r="B321" s="1620"/>
      <c r="C321" s="1621"/>
      <c r="D321" s="1442"/>
      <c r="J321" s="1459"/>
      <c r="K321" s="1459"/>
      <c r="L321" s="1459"/>
      <c r="M321" s="1459"/>
      <c r="N321" s="1459"/>
      <c r="O321" s="1459"/>
      <c r="P321" s="1459"/>
      <c r="Q321" s="1459"/>
      <c r="R321" s="1459"/>
      <c r="S321" s="1459"/>
      <c r="T321" s="1459"/>
      <c r="U321" s="1459"/>
      <c r="V321" s="1459"/>
      <c r="W321" s="1459"/>
      <c r="X321" s="1459"/>
      <c r="Y321" s="1459"/>
      <c r="Z321" s="1459"/>
      <c r="AA321" s="1459"/>
      <c r="AB321" s="1459"/>
      <c r="AC321" s="1459"/>
      <c r="AD321" s="1459"/>
      <c r="AE321" s="1459"/>
      <c r="AF321" s="1459"/>
      <c r="AG321" s="1459"/>
      <c r="AH321" s="1459"/>
      <c r="AI321" s="1459"/>
      <c r="AJ321" s="1459"/>
      <c r="AK321" s="1459"/>
      <c r="AL321" s="1459"/>
      <c r="AM321" s="1459"/>
      <c r="AN321" s="1459"/>
      <c r="AO321" s="1459"/>
      <c r="AP321" s="1459"/>
      <c r="AQ321" s="1459"/>
      <c r="AR321" s="1459"/>
      <c r="AS321" s="1459"/>
      <c r="AT321" s="1459"/>
      <c r="AU321" s="1459"/>
      <c r="AV321" s="1459"/>
      <c r="AW321" s="1459"/>
      <c r="AX321" s="1459"/>
      <c r="AY321" s="1459"/>
      <c r="AZ321" s="1459"/>
      <c r="BA321" s="1459"/>
      <c r="BB321" s="1459"/>
      <c r="BC321" s="1459"/>
      <c r="BD321" s="1459"/>
      <c r="BE321" s="1459"/>
      <c r="BF321" s="1459"/>
      <c r="BG321" s="1459"/>
      <c r="BH321" s="1459"/>
      <c r="BI321" s="1459"/>
      <c r="BJ321" s="1459"/>
      <c r="BK321" s="1459"/>
      <c r="BL321" s="1459"/>
    </row>
    <row r="322" spans="1:64">
      <c r="A322" s="1623" t="s">
        <v>2184</v>
      </c>
      <c r="B322" s="1249">
        <f>IF(einmaligesEK!E35&lt;=100,0,IF(einmaligesEK!E35&lt;=1000,einmaligesEK!E35-100,IF(einmaligesEK!E35&gt;1000,1000-100)))</f>
        <v>0</v>
      </c>
      <c r="C322" s="869" t="s">
        <v>2185</v>
      </c>
      <c r="D322" s="1624">
        <f>B322*20/100</f>
        <v>0</v>
      </c>
      <c r="J322" s="1459"/>
      <c r="K322" s="1459"/>
      <c r="L322" s="1459"/>
      <c r="M322" s="1459"/>
      <c r="N322" s="1459"/>
      <c r="O322" s="1459"/>
      <c r="P322" s="1459"/>
      <c r="Q322" s="1459"/>
      <c r="R322" s="1459"/>
      <c r="S322" s="1459"/>
      <c r="T322" s="1459"/>
      <c r="U322" s="1459"/>
      <c r="V322" s="1459"/>
      <c r="W322" s="1459"/>
      <c r="X322" s="1459"/>
      <c r="Y322" s="1459"/>
      <c r="Z322" s="1459"/>
      <c r="AA322" s="1459"/>
      <c r="AB322" s="1459"/>
      <c r="AC322" s="1459"/>
      <c r="AD322" s="1459"/>
      <c r="AE322" s="1459"/>
      <c r="AF322" s="1459"/>
      <c r="AG322" s="1459"/>
      <c r="AH322" s="1459"/>
      <c r="AI322" s="1459"/>
      <c r="AJ322" s="1459"/>
      <c r="AK322" s="1459"/>
      <c r="AL322" s="1459"/>
      <c r="AM322" s="1459"/>
      <c r="AN322" s="1459"/>
      <c r="AO322" s="1459"/>
      <c r="AP322" s="1459"/>
      <c r="AQ322" s="1459"/>
      <c r="AR322" s="1459"/>
      <c r="AS322" s="1459"/>
      <c r="AT322" s="1459"/>
      <c r="AU322" s="1459"/>
      <c r="AV322" s="1459"/>
      <c r="AW322" s="1459"/>
      <c r="AX322" s="1459"/>
      <c r="AY322" s="1459"/>
      <c r="AZ322" s="1459"/>
      <c r="BA322" s="1459"/>
      <c r="BB322" s="1459"/>
      <c r="BC322" s="1459"/>
      <c r="BD322" s="1459"/>
      <c r="BE322" s="1459"/>
      <c r="BF322" s="1459"/>
      <c r="BG322" s="1459"/>
      <c r="BH322" s="1459"/>
      <c r="BI322" s="1459"/>
      <c r="BJ322" s="1459"/>
      <c r="BK322" s="1459"/>
      <c r="BL322" s="1459"/>
    </row>
    <row r="323" spans="1:64" ht="20.100000000000001" customHeight="1">
      <c r="A323" s="1623" t="s">
        <v>2186</v>
      </c>
      <c r="B323" s="1249">
        <f>IF(einmaligesEK!E35&lt;1000.01,0,IF(AND(einmaligesEK!E35&gt;1000,einmaligesEK!E35&lt;=1200),einmaligesEK!E35-B322-100,IF(einmaligesEK!E35&gt;1200,1200-B322-100,)))</f>
        <v>0</v>
      </c>
      <c r="C323" s="869" t="s">
        <v>2187</v>
      </c>
      <c r="D323" s="1624">
        <f>B323*10/100</f>
        <v>0</v>
      </c>
      <c r="J323" s="1459"/>
      <c r="K323" s="1459"/>
      <c r="L323" s="1459"/>
      <c r="M323" s="1459"/>
      <c r="N323" s="1459"/>
      <c r="O323" s="1459"/>
      <c r="P323" s="1459"/>
      <c r="Q323" s="1459"/>
      <c r="R323" s="1459"/>
      <c r="S323" s="1459"/>
      <c r="T323" s="1459"/>
      <c r="U323" s="1459"/>
      <c r="V323" s="1459"/>
      <c r="W323" s="1459"/>
      <c r="X323" s="1459"/>
      <c r="Y323" s="1459"/>
      <c r="Z323" s="1459"/>
      <c r="AA323" s="1459"/>
      <c r="AB323" s="1459"/>
      <c r="AC323" s="1459"/>
      <c r="AD323" s="1459"/>
      <c r="AE323" s="1459"/>
      <c r="AF323" s="1459"/>
      <c r="AG323" s="1459"/>
      <c r="AH323" s="1459"/>
      <c r="AI323" s="1459"/>
      <c r="AJ323" s="1459"/>
      <c r="AK323" s="1459"/>
      <c r="AL323" s="1459"/>
      <c r="AM323" s="1459"/>
      <c r="AN323" s="1459"/>
      <c r="AO323" s="1459"/>
      <c r="AP323" s="1459"/>
      <c r="AQ323" s="1459"/>
      <c r="AR323" s="1459"/>
      <c r="AS323" s="1459"/>
      <c r="AT323" s="1459"/>
      <c r="AU323" s="1459"/>
      <c r="AV323" s="1459"/>
      <c r="AW323" s="1459"/>
      <c r="AX323" s="1459"/>
      <c r="AY323" s="1459"/>
      <c r="AZ323" s="1459"/>
      <c r="BA323" s="1459"/>
      <c r="BB323" s="1459"/>
      <c r="BC323" s="1459"/>
      <c r="BD323" s="1459"/>
      <c r="BE323" s="1459"/>
      <c r="BF323" s="1459"/>
      <c r="BG323" s="1459"/>
      <c r="BH323" s="1459"/>
      <c r="BI323" s="1459"/>
      <c r="BJ323" s="1459"/>
      <c r="BK323" s="1459"/>
      <c r="BL323" s="1459"/>
    </row>
    <row r="324" spans="1:64">
      <c r="A324" s="1625" t="s">
        <v>141</v>
      </c>
      <c r="B324" s="1445"/>
      <c r="C324" s="1445"/>
      <c r="D324" s="1626">
        <f>SUM(D322:D323)</f>
        <v>0</v>
      </c>
      <c r="J324" s="1459"/>
      <c r="K324" s="1459"/>
      <c r="L324" s="1459"/>
      <c r="M324" s="1459"/>
      <c r="N324" s="1459"/>
      <c r="O324" s="1459"/>
      <c r="P324" s="1459"/>
      <c r="Q324" s="1459"/>
      <c r="R324" s="1459"/>
      <c r="S324" s="1459"/>
      <c r="T324" s="1459"/>
      <c r="U324" s="1459"/>
      <c r="V324" s="1459"/>
      <c r="W324" s="1459"/>
      <c r="X324" s="1459"/>
      <c r="Y324" s="1459"/>
      <c r="Z324" s="1459"/>
      <c r="AA324" s="1459"/>
      <c r="AB324" s="1459"/>
      <c r="AC324" s="1459"/>
      <c r="AD324" s="1459"/>
      <c r="AE324" s="1459"/>
      <c r="AF324" s="1459"/>
      <c r="AG324" s="1459"/>
      <c r="AH324" s="1459"/>
      <c r="AI324" s="1459"/>
      <c r="AJ324" s="1459"/>
      <c r="AK324" s="1459"/>
      <c r="AL324" s="1459"/>
      <c r="AM324" s="1459"/>
      <c r="AN324" s="1459"/>
      <c r="AO324" s="1459"/>
      <c r="AP324" s="1459"/>
      <c r="AQ324" s="1459"/>
      <c r="AR324" s="1459"/>
      <c r="AS324" s="1459"/>
      <c r="AT324" s="1459"/>
      <c r="AU324" s="1459"/>
      <c r="AV324" s="1459"/>
      <c r="AW324" s="1459"/>
      <c r="AX324" s="1459"/>
      <c r="AY324" s="1459"/>
      <c r="AZ324" s="1459"/>
      <c r="BA324" s="1459"/>
      <c r="BB324" s="1459"/>
      <c r="BC324" s="1459"/>
      <c r="BD324" s="1459"/>
      <c r="BE324" s="1459"/>
      <c r="BF324" s="1459"/>
      <c r="BG324" s="1459"/>
      <c r="BH324" s="1459"/>
      <c r="BI324" s="1459"/>
      <c r="BJ324" s="1459"/>
      <c r="BK324" s="1459"/>
      <c r="BL324" s="1459"/>
    </row>
    <row r="325" spans="1:64">
      <c r="J325" s="1459"/>
      <c r="K325" s="1459"/>
      <c r="L325" s="1459"/>
      <c r="M325" s="1459"/>
      <c r="N325" s="1459"/>
      <c r="O325" s="1459"/>
      <c r="P325" s="1459"/>
      <c r="Q325" s="1459"/>
      <c r="R325" s="1459"/>
      <c r="S325" s="1459"/>
      <c r="T325" s="1459"/>
      <c r="U325" s="1459"/>
      <c r="V325" s="1459"/>
      <c r="W325" s="1459"/>
      <c r="X325" s="1459"/>
      <c r="Y325" s="1459"/>
      <c r="Z325" s="1459"/>
      <c r="AA325" s="1459"/>
      <c r="AB325" s="1459"/>
      <c r="AC325" s="1459"/>
      <c r="AD325" s="1459"/>
      <c r="AE325" s="1459"/>
      <c r="AF325" s="1459"/>
      <c r="AG325" s="1459"/>
      <c r="AH325" s="1459"/>
      <c r="AI325" s="1459"/>
      <c r="AJ325" s="1459"/>
      <c r="AK325" s="1459"/>
      <c r="AL325" s="1459"/>
      <c r="AM325" s="1459"/>
      <c r="AN325" s="1459"/>
      <c r="AO325" s="1459"/>
      <c r="AP325" s="1459"/>
      <c r="AQ325" s="1459"/>
      <c r="AR325" s="1459"/>
      <c r="AS325" s="1459"/>
      <c r="AT325" s="1459"/>
      <c r="AU325" s="1459"/>
      <c r="AV325" s="1459"/>
      <c r="AW325" s="1459"/>
      <c r="AX325" s="1459"/>
      <c r="AY325" s="1459"/>
      <c r="AZ325" s="1459"/>
      <c r="BA325" s="1459"/>
      <c r="BB325" s="1459"/>
      <c r="BC325" s="1459"/>
      <c r="BD325" s="1459"/>
      <c r="BE325" s="1459"/>
      <c r="BF325" s="1459"/>
      <c r="BG325" s="1459"/>
      <c r="BH325" s="1459"/>
      <c r="BI325" s="1459"/>
      <c r="BJ325" s="1459"/>
      <c r="BK325" s="1459"/>
      <c r="BL325" s="1459"/>
    </row>
    <row r="326" spans="1:64">
      <c r="A326" s="1619" t="s">
        <v>2190</v>
      </c>
      <c r="B326" s="1620"/>
      <c r="C326" s="1621"/>
      <c r="D326" s="1442"/>
      <c r="J326" s="1459"/>
      <c r="K326" s="1459"/>
      <c r="L326" s="1459"/>
      <c r="M326" s="1459"/>
      <c r="N326" s="1459"/>
      <c r="O326" s="1459"/>
      <c r="P326" s="1459"/>
      <c r="Q326" s="1459"/>
      <c r="R326" s="1459"/>
      <c r="S326" s="1459"/>
      <c r="T326" s="1459"/>
      <c r="U326" s="1459"/>
      <c r="V326" s="1459"/>
      <c r="W326" s="1459"/>
      <c r="X326" s="1459"/>
      <c r="Y326" s="1459"/>
      <c r="Z326" s="1459"/>
      <c r="AA326" s="1459"/>
      <c r="AB326" s="1459"/>
      <c r="AC326" s="1459"/>
      <c r="AD326" s="1459"/>
      <c r="AE326" s="1459"/>
      <c r="AF326" s="1459"/>
      <c r="AG326" s="1459"/>
      <c r="AH326" s="1459"/>
      <c r="AI326" s="1459"/>
      <c r="AJ326" s="1459"/>
      <c r="AK326" s="1459"/>
      <c r="AL326" s="1459"/>
      <c r="AM326" s="1459"/>
      <c r="AN326" s="1459"/>
      <c r="AO326" s="1459"/>
      <c r="AP326" s="1459"/>
      <c r="AQ326" s="1459"/>
      <c r="AR326" s="1459"/>
      <c r="AS326" s="1459"/>
      <c r="AT326" s="1459"/>
      <c r="AU326" s="1459"/>
      <c r="AV326" s="1459"/>
      <c r="AW326" s="1459"/>
      <c r="AX326" s="1459"/>
      <c r="AY326" s="1459"/>
      <c r="AZ326" s="1459"/>
      <c r="BA326" s="1459"/>
      <c r="BB326" s="1459"/>
      <c r="BC326" s="1459"/>
      <c r="BD326" s="1459"/>
      <c r="BE326" s="1459"/>
      <c r="BF326" s="1459"/>
      <c r="BG326" s="1459"/>
      <c r="BH326" s="1459"/>
      <c r="BI326" s="1459"/>
      <c r="BJ326" s="1459"/>
      <c r="BK326" s="1459"/>
      <c r="BL326" s="1459"/>
    </row>
    <row r="327" spans="1:64">
      <c r="A327" s="1623" t="s">
        <v>2184</v>
      </c>
      <c r="B327" s="1249">
        <f>IF(einmaligesEK!F35&lt;=100,0,IF(einmaligesEK!F35&lt;=1000,einmaligesEK!F35-100,IF(einmaligesEK!F35&gt;1000,1000-100)))</f>
        <v>0</v>
      </c>
      <c r="C327" s="869" t="s">
        <v>2185</v>
      </c>
      <c r="D327" s="1624">
        <f>B327*20/100</f>
        <v>0</v>
      </c>
      <c r="J327" s="1459"/>
      <c r="K327" s="1459"/>
      <c r="L327" s="1459"/>
      <c r="M327" s="1459"/>
      <c r="N327" s="1459"/>
      <c r="O327" s="1459"/>
      <c r="P327" s="1459"/>
      <c r="Q327" s="1459"/>
      <c r="R327" s="1459"/>
      <c r="S327" s="1459"/>
      <c r="T327" s="1459"/>
      <c r="U327" s="1459"/>
      <c r="V327" s="1459"/>
      <c r="W327" s="1459"/>
      <c r="X327" s="1459"/>
      <c r="Y327" s="1459"/>
      <c r="Z327" s="1459"/>
      <c r="AA327" s="1459"/>
      <c r="AB327" s="1459"/>
      <c r="AC327" s="1459"/>
      <c r="AD327" s="1459"/>
      <c r="AE327" s="1459"/>
      <c r="AF327" s="1459"/>
      <c r="AG327" s="1459"/>
      <c r="AH327" s="1459"/>
      <c r="AI327" s="1459"/>
      <c r="AJ327" s="1459"/>
      <c r="AK327" s="1459"/>
      <c r="AL327" s="1459"/>
      <c r="AM327" s="1459"/>
      <c r="AN327" s="1459"/>
      <c r="AO327" s="1459"/>
      <c r="AP327" s="1459"/>
      <c r="AQ327" s="1459"/>
      <c r="AR327" s="1459"/>
      <c r="AS327" s="1459"/>
      <c r="AT327" s="1459"/>
      <c r="AU327" s="1459"/>
      <c r="AV327" s="1459"/>
      <c r="AW327" s="1459"/>
      <c r="AX327" s="1459"/>
      <c r="AY327" s="1459"/>
      <c r="AZ327" s="1459"/>
      <c r="BA327" s="1459"/>
      <c r="BB327" s="1459"/>
      <c r="BC327" s="1459"/>
      <c r="BD327" s="1459"/>
      <c r="BE327" s="1459"/>
      <c r="BF327" s="1459"/>
      <c r="BG327" s="1459"/>
      <c r="BH327" s="1459"/>
      <c r="BI327" s="1459"/>
      <c r="BJ327" s="1459"/>
      <c r="BK327" s="1459"/>
      <c r="BL327" s="1459"/>
    </row>
    <row r="328" spans="1:64" ht="20.100000000000001" customHeight="1">
      <c r="A328" s="1623" t="s">
        <v>2186</v>
      </c>
      <c r="B328" s="1249">
        <f>IF(einmaligesEK!F35&lt;1000.01,0,IF(AND(einmaligesEK!F35&gt;1000,einmaligesEK!F35&lt;=1200),einmaligesEK!F35-B327-100,IF(einmaligesEK!F35&gt;1200,1200-B327-100,)))</f>
        <v>0</v>
      </c>
      <c r="C328" s="869" t="s">
        <v>2187</v>
      </c>
      <c r="D328" s="1624">
        <f>B328*10/100</f>
        <v>0</v>
      </c>
      <c r="J328" s="1459"/>
      <c r="K328" s="1459"/>
      <c r="L328" s="1459"/>
      <c r="M328" s="1459"/>
      <c r="N328" s="1459"/>
      <c r="O328" s="1459"/>
      <c r="P328" s="1459"/>
      <c r="Q328" s="1459"/>
      <c r="R328" s="1459"/>
      <c r="S328" s="1459"/>
      <c r="T328" s="1459"/>
      <c r="U328" s="1459"/>
      <c r="V328" s="1459"/>
      <c r="W328" s="1459"/>
      <c r="X328" s="1459"/>
      <c r="Y328" s="1459"/>
      <c r="Z328" s="1459"/>
      <c r="AA328" s="1459"/>
      <c r="AB328" s="1459"/>
      <c r="AC328" s="1459"/>
      <c r="AD328" s="1459"/>
      <c r="AE328" s="1459"/>
      <c r="AF328" s="1459"/>
      <c r="AG328" s="1459"/>
      <c r="AH328" s="1459"/>
      <c r="AI328" s="1459"/>
      <c r="AJ328" s="1459"/>
      <c r="AK328" s="1459"/>
      <c r="AL328" s="1459"/>
      <c r="AM328" s="1459"/>
      <c r="AN328" s="1459"/>
      <c r="AO328" s="1459"/>
      <c r="AP328" s="1459"/>
      <c r="AQ328" s="1459"/>
      <c r="AR328" s="1459"/>
      <c r="AS328" s="1459"/>
      <c r="AT328" s="1459"/>
      <c r="AU328" s="1459"/>
      <c r="AV328" s="1459"/>
      <c r="AW328" s="1459"/>
      <c r="AX328" s="1459"/>
      <c r="AY328" s="1459"/>
      <c r="AZ328" s="1459"/>
      <c r="BA328" s="1459"/>
      <c r="BB328" s="1459"/>
      <c r="BC328" s="1459"/>
      <c r="BD328" s="1459"/>
      <c r="BE328" s="1459"/>
      <c r="BF328" s="1459"/>
      <c r="BG328" s="1459"/>
      <c r="BH328" s="1459"/>
      <c r="BI328" s="1459"/>
      <c r="BJ328" s="1459"/>
      <c r="BK328" s="1459"/>
      <c r="BL328" s="1459"/>
    </row>
    <row r="329" spans="1:64">
      <c r="A329" s="1625" t="s">
        <v>141</v>
      </c>
      <c r="B329" s="1445"/>
      <c r="C329" s="1445"/>
      <c r="D329" s="1626">
        <f>SUM(D327:D328)</f>
        <v>0</v>
      </c>
      <c r="J329" s="1459"/>
      <c r="K329" s="1459"/>
      <c r="L329" s="1459"/>
      <c r="M329" s="1459"/>
      <c r="N329" s="1459"/>
      <c r="O329" s="1459"/>
      <c r="P329" s="1459"/>
      <c r="Q329" s="1459"/>
      <c r="R329" s="1459"/>
      <c r="S329" s="1459"/>
      <c r="T329" s="1459"/>
      <c r="U329" s="1459"/>
      <c r="V329" s="1459"/>
      <c r="W329" s="1459"/>
      <c r="X329" s="1459"/>
      <c r="Y329" s="1459"/>
      <c r="Z329" s="1459"/>
      <c r="AA329" s="1459"/>
      <c r="AB329" s="1459"/>
      <c r="AC329" s="1459"/>
      <c r="AD329" s="1459"/>
      <c r="AE329" s="1459"/>
      <c r="AF329" s="1459"/>
      <c r="AG329" s="1459"/>
      <c r="AH329" s="1459"/>
      <c r="AI329" s="1459"/>
      <c r="AJ329" s="1459"/>
      <c r="AK329" s="1459"/>
      <c r="AL329" s="1459"/>
      <c r="AM329" s="1459"/>
      <c r="AN329" s="1459"/>
      <c r="AO329" s="1459"/>
      <c r="AP329" s="1459"/>
      <c r="AQ329" s="1459"/>
      <c r="AR329" s="1459"/>
      <c r="AS329" s="1459"/>
      <c r="AT329" s="1459"/>
      <c r="AU329" s="1459"/>
      <c r="AV329" s="1459"/>
      <c r="AW329" s="1459"/>
      <c r="AX329" s="1459"/>
      <c r="AY329" s="1459"/>
      <c r="AZ329" s="1459"/>
      <c r="BA329" s="1459"/>
      <c r="BB329" s="1459"/>
      <c r="BC329" s="1459"/>
      <c r="BD329" s="1459"/>
      <c r="BE329" s="1459"/>
      <c r="BF329" s="1459"/>
      <c r="BG329" s="1459"/>
      <c r="BH329" s="1459"/>
      <c r="BI329" s="1459"/>
      <c r="BJ329" s="1459"/>
      <c r="BK329" s="1459"/>
      <c r="BL329" s="1459"/>
    </row>
    <row r="330" spans="1:64">
      <c r="J330" s="1459"/>
      <c r="K330" s="1459"/>
      <c r="L330" s="1459"/>
      <c r="M330" s="1459"/>
      <c r="N330" s="1459"/>
      <c r="O330" s="1459"/>
      <c r="P330" s="1459"/>
      <c r="Q330" s="1459"/>
      <c r="R330" s="1459"/>
      <c r="S330" s="1459"/>
      <c r="T330" s="1459"/>
      <c r="U330" s="1459"/>
      <c r="V330" s="1459"/>
      <c r="W330" s="1459"/>
      <c r="X330" s="1459"/>
      <c r="Y330" s="1459"/>
      <c r="Z330" s="1459"/>
      <c r="AA330" s="1459"/>
      <c r="AB330" s="1459"/>
      <c r="AC330" s="1459"/>
      <c r="AD330" s="1459"/>
      <c r="AE330" s="1459"/>
      <c r="AF330" s="1459"/>
      <c r="AG330" s="1459"/>
      <c r="AH330" s="1459"/>
      <c r="AI330" s="1459"/>
      <c r="AJ330" s="1459"/>
      <c r="AK330" s="1459"/>
      <c r="AL330" s="1459"/>
      <c r="AM330" s="1459"/>
      <c r="AN330" s="1459"/>
      <c r="AO330" s="1459"/>
      <c r="AP330" s="1459"/>
      <c r="AQ330" s="1459"/>
      <c r="AR330" s="1459"/>
      <c r="AS330" s="1459"/>
      <c r="AT330" s="1459"/>
      <c r="AU330" s="1459"/>
      <c r="AV330" s="1459"/>
      <c r="AW330" s="1459"/>
      <c r="AX330" s="1459"/>
      <c r="AY330" s="1459"/>
      <c r="AZ330" s="1459"/>
      <c r="BA330" s="1459"/>
      <c r="BB330" s="1459"/>
      <c r="BC330" s="1459"/>
      <c r="BD330" s="1459"/>
      <c r="BE330" s="1459"/>
      <c r="BF330" s="1459"/>
      <c r="BG330" s="1459"/>
      <c r="BH330" s="1459"/>
      <c r="BI330" s="1459"/>
      <c r="BJ330" s="1459"/>
      <c r="BK330" s="1459"/>
      <c r="BL330" s="1459"/>
    </row>
    <row r="331" spans="1:64">
      <c r="A331" s="1619" t="s">
        <v>2191</v>
      </c>
      <c r="B331" s="1620"/>
      <c r="C331" s="1621"/>
      <c r="D331" s="1442"/>
      <c r="J331" s="1459"/>
      <c r="K331" s="1459"/>
      <c r="L331" s="1459"/>
      <c r="M331" s="1459"/>
      <c r="N331" s="1459"/>
      <c r="O331" s="1459"/>
      <c r="P331" s="1459"/>
      <c r="Q331" s="1459"/>
      <c r="R331" s="1459"/>
      <c r="S331" s="1459"/>
      <c r="T331" s="1459"/>
      <c r="U331" s="1459"/>
      <c r="V331" s="1459"/>
      <c r="W331" s="1459"/>
      <c r="X331" s="1459"/>
      <c r="Y331" s="1459"/>
      <c r="Z331" s="1459"/>
      <c r="AA331" s="1459"/>
      <c r="AB331" s="1459"/>
      <c r="AC331" s="1459"/>
      <c r="AD331" s="1459"/>
      <c r="AE331" s="1459"/>
      <c r="AF331" s="1459"/>
      <c r="AG331" s="1459"/>
      <c r="AH331" s="1459"/>
      <c r="AI331" s="1459"/>
      <c r="AJ331" s="1459"/>
      <c r="AK331" s="1459"/>
      <c r="AL331" s="1459"/>
      <c r="AM331" s="1459"/>
      <c r="AN331" s="1459"/>
      <c r="AO331" s="1459"/>
      <c r="AP331" s="1459"/>
      <c r="AQ331" s="1459"/>
      <c r="AR331" s="1459"/>
      <c r="AS331" s="1459"/>
      <c r="AT331" s="1459"/>
      <c r="AU331" s="1459"/>
      <c r="AV331" s="1459"/>
      <c r="AW331" s="1459"/>
      <c r="AX331" s="1459"/>
      <c r="AY331" s="1459"/>
      <c r="AZ331" s="1459"/>
      <c r="BA331" s="1459"/>
      <c r="BB331" s="1459"/>
      <c r="BC331" s="1459"/>
      <c r="BD331" s="1459"/>
      <c r="BE331" s="1459"/>
      <c r="BF331" s="1459"/>
      <c r="BG331" s="1459"/>
      <c r="BH331" s="1459"/>
      <c r="BI331" s="1459"/>
      <c r="BJ331" s="1459"/>
      <c r="BK331" s="1459"/>
      <c r="BL331" s="1459"/>
    </row>
    <row r="332" spans="1:64">
      <c r="A332" s="1623" t="s">
        <v>2184</v>
      </c>
      <c r="B332" s="1249">
        <f>IF(einmaligesEK!G35&lt;=100,0,IF(einmaligesEK!G35&lt;=1000,einmaligesEK!G35-100,IF(einmaligesEK!G35&gt;1000,1000-100)))</f>
        <v>0</v>
      </c>
      <c r="C332" s="869" t="s">
        <v>2185</v>
      </c>
      <c r="D332" s="1624">
        <f>B332*20/100</f>
        <v>0</v>
      </c>
      <c r="J332" s="1459"/>
      <c r="K332" s="1459"/>
      <c r="L332" s="1459"/>
      <c r="M332" s="1459"/>
      <c r="N332" s="1459"/>
      <c r="O332" s="1459"/>
      <c r="P332" s="1459"/>
      <c r="Q332" s="1459"/>
      <c r="R332" s="1459"/>
      <c r="S332" s="1459"/>
      <c r="T332" s="1459"/>
      <c r="U332" s="1459"/>
      <c r="V332" s="1459"/>
      <c r="W332" s="1459"/>
      <c r="X332" s="1459"/>
      <c r="Y332" s="1459"/>
      <c r="Z332" s="1459"/>
      <c r="AA332" s="1459"/>
      <c r="AB332" s="1459"/>
      <c r="AC332" s="1459"/>
      <c r="AD332" s="1459"/>
      <c r="AE332" s="1459"/>
      <c r="AF332" s="1459"/>
      <c r="AG332" s="1459"/>
      <c r="AH332" s="1459"/>
      <c r="AI332" s="1459"/>
      <c r="AJ332" s="1459"/>
      <c r="AK332" s="1459"/>
      <c r="AL332" s="1459"/>
      <c r="AM332" s="1459"/>
      <c r="AN332" s="1459"/>
      <c r="AO332" s="1459"/>
      <c r="AP332" s="1459"/>
      <c r="AQ332" s="1459"/>
      <c r="AR332" s="1459"/>
      <c r="AS332" s="1459"/>
      <c r="AT332" s="1459"/>
      <c r="AU332" s="1459"/>
      <c r="AV332" s="1459"/>
      <c r="AW332" s="1459"/>
      <c r="AX332" s="1459"/>
      <c r="AY332" s="1459"/>
      <c r="AZ332" s="1459"/>
      <c r="BA332" s="1459"/>
      <c r="BB332" s="1459"/>
      <c r="BC332" s="1459"/>
      <c r="BD332" s="1459"/>
      <c r="BE332" s="1459"/>
      <c r="BF332" s="1459"/>
      <c r="BG332" s="1459"/>
      <c r="BH332" s="1459"/>
      <c r="BI332" s="1459"/>
      <c r="BJ332" s="1459"/>
      <c r="BK332" s="1459"/>
      <c r="BL332" s="1459"/>
    </row>
    <row r="333" spans="1:64" ht="20.100000000000001" customHeight="1">
      <c r="A333" s="1623" t="s">
        <v>2186</v>
      </c>
      <c r="B333" s="1249">
        <f>IF(einmaligesEK!G35&lt;1000.01,0,IF(AND(einmaligesEK!G35&gt;1000,einmaligesEK!G35&lt;=1200),einmaligesEK!G35-B332-100,IF(einmaligesEK!G35&gt;1200,1200-B332-100,)))</f>
        <v>0</v>
      </c>
      <c r="C333" s="869" t="s">
        <v>2187</v>
      </c>
      <c r="D333" s="1624">
        <f>B333*10/100</f>
        <v>0</v>
      </c>
      <c r="J333" s="1459"/>
      <c r="K333" s="1459"/>
      <c r="L333" s="1459"/>
      <c r="M333" s="1459"/>
      <c r="N333" s="1459"/>
      <c r="O333" s="1459"/>
      <c r="P333" s="1459"/>
      <c r="Q333" s="1459"/>
      <c r="R333" s="1459"/>
      <c r="S333" s="1459"/>
      <c r="T333" s="1459"/>
      <c r="U333" s="1459"/>
      <c r="V333" s="1459"/>
      <c r="W333" s="1459"/>
      <c r="X333" s="1459"/>
      <c r="Y333" s="1459"/>
      <c r="Z333" s="1459"/>
      <c r="AA333" s="1459"/>
      <c r="AB333" s="1459"/>
      <c r="AC333" s="1459"/>
      <c r="AD333" s="1459"/>
      <c r="AE333" s="1459"/>
      <c r="AF333" s="1459"/>
      <c r="AG333" s="1459"/>
      <c r="AH333" s="1459"/>
      <c r="AI333" s="1459"/>
      <c r="AJ333" s="1459"/>
      <c r="AK333" s="1459"/>
      <c r="AL333" s="1459"/>
      <c r="AM333" s="1459"/>
      <c r="AN333" s="1459"/>
      <c r="AO333" s="1459"/>
      <c r="AP333" s="1459"/>
      <c r="AQ333" s="1459"/>
      <c r="AR333" s="1459"/>
      <c r="AS333" s="1459"/>
      <c r="AT333" s="1459"/>
      <c r="AU333" s="1459"/>
      <c r="AV333" s="1459"/>
      <c r="AW333" s="1459"/>
      <c r="AX333" s="1459"/>
      <c r="AY333" s="1459"/>
      <c r="AZ333" s="1459"/>
      <c r="BA333" s="1459"/>
      <c r="BB333" s="1459"/>
      <c r="BC333" s="1459"/>
      <c r="BD333" s="1459"/>
      <c r="BE333" s="1459"/>
      <c r="BF333" s="1459"/>
      <c r="BG333" s="1459"/>
      <c r="BH333" s="1459"/>
      <c r="BI333" s="1459"/>
      <c r="BJ333" s="1459"/>
      <c r="BK333" s="1459"/>
      <c r="BL333" s="1459"/>
    </row>
    <row r="334" spans="1:64">
      <c r="A334" s="1625" t="s">
        <v>141</v>
      </c>
      <c r="B334" s="1445"/>
      <c r="C334" s="1445"/>
      <c r="D334" s="1626">
        <f>SUM(D332:D333)</f>
        <v>0</v>
      </c>
      <c r="J334" s="1459"/>
      <c r="K334" s="1459"/>
      <c r="L334" s="1459"/>
      <c r="M334" s="1459"/>
      <c r="N334" s="1459"/>
      <c r="O334" s="1459"/>
      <c r="P334" s="1459"/>
      <c r="Q334" s="1459"/>
      <c r="R334" s="1459"/>
      <c r="S334" s="1459"/>
      <c r="T334" s="1459"/>
      <c r="U334" s="1459"/>
      <c r="V334" s="1459"/>
      <c r="W334" s="1459"/>
      <c r="X334" s="1459"/>
      <c r="Y334" s="1459"/>
      <c r="Z334" s="1459"/>
      <c r="AA334" s="1459"/>
      <c r="AB334" s="1459"/>
      <c r="AC334" s="1459"/>
      <c r="AD334" s="1459"/>
      <c r="AE334" s="1459"/>
      <c r="AF334" s="1459"/>
      <c r="AG334" s="1459"/>
      <c r="AH334" s="1459"/>
      <c r="AI334" s="1459"/>
      <c r="AJ334" s="1459"/>
      <c r="AK334" s="1459"/>
      <c r="AL334" s="1459"/>
      <c r="AM334" s="1459"/>
      <c r="AN334" s="1459"/>
      <c r="AO334" s="1459"/>
      <c r="AP334" s="1459"/>
      <c r="AQ334" s="1459"/>
      <c r="AR334" s="1459"/>
      <c r="AS334" s="1459"/>
      <c r="AT334" s="1459"/>
      <c r="AU334" s="1459"/>
      <c r="AV334" s="1459"/>
      <c r="AW334" s="1459"/>
      <c r="AX334" s="1459"/>
      <c r="AY334" s="1459"/>
      <c r="AZ334" s="1459"/>
      <c r="BA334" s="1459"/>
      <c r="BB334" s="1459"/>
      <c r="BC334" s="1459"/>
      <c r="BD334" s="1459"/>
      <c r="BE334" s="1459"/>
      <c r="BF334" s="1459"/>
      <c r="BG334" s="1459"/>
      <c r="BH334" s="1459"/>
      <c r="BI334" s="1459"/>
      <c r="BJ334" s="1459"/>
      <c r="BK334" s="1459"/>
      <c r="BL334" s="1459"/>
    </row>
    <row r="335" spans="1:64">
      <c r="J335" s="1459"/>
      <c r="K335" s="1459"/>
      <c r="L335" s="1459"/>
      <c r="M335" s="1459"/>
      <c r="N335" s="1459"/>
      <c r="O335" s="1459"/>
      <c r="P335" s="1459"/>
      <c r="Q335" s="1459"/>
      <c r="R335" s="1459"/>
      <c r="S335" s="1459"/>
      <c r="T335" s="1459"/>
      <c r="U335" s="1459"/>
      <c r="V335" s="1459"/>
      <c r="W335" s="1459"/>
      <c r="X335" s="1459"/>
      <c r="Y335" s="1459"/>
      <c r="Z335" s="1459"/>
      <c r="AA335" s="1459"/>
      <c r="AB335" s="1459"/>
      <c r="AC335" s="1459"/>
      <c r="AD335" s="1459"/>
      <c r="AE335" s="1459"/>
      <c r="AF335" s="1459"/>
      <c r="AG335" s="1459"/>
      <c r="AH335" s="1459"/>
      <c r="AI335" s="1459"/>
      <c r="AJ335" s="1459"/>
      <c r="AK335" s="1459"/>
      <c r="AL335" s="1459"/>
      <c r="AM335" s="1459"/>
      <c r="AN335" s="1459"/>
      <c r="AO335" s="1459"/>
      <c r="AP335" s="1459"/>
      <c r="AQ335" s="1459"/>
      <c r="AR335" s="1459"/>
      <c r="AS335" s="1459"/>
      <c r="AT335" s="1459"/>
      <c r="AU335" s="1459"/>
      <c r="AV335" s="1459"/>
      <c r="AW335" s="1459"/>
      <c r="AX335" s="1459"/>
      <c r="AY335" s="1459"/>
      <c r="AZ335" s="1459"/>
      <c r="BA335" s="1459"/>
      <c r="BB335" s="1459"/>
      <c r="BC335" s="1459"/>
      <c r="BD335" s="1459"/>
      <c r="BE335" s="1459"/>
      <c r="BF335" s="1459"/>
      <c r="BG335" s="1459"/>
      <c r="BH335" s="1459"/>
      <c r="BI335" s="1459"/>
      <c r="BJ335" s="1459"/>
      <c r="BK335" s="1459"/>
      <c r="BL335" s="1459"/>
    </row>
    <row r="336" spans="1:64">
      <c r="A336" s="1619" t="s">
        <v>2192</v>
      </c>
      <c r="B336" s="1620"/>
      <c r="C336" s="1621"/>
      <c r="D336" s="1442"/>
      <c r="J336" s="1459"/>
      <c r="K336" s="1459"/>
      <c r="L336" s="1459"/>
      <c r="M336" s="1459"/>
      <c r="N336" s="1459"/>
      <c r="O336" s="1459"/>
      <c r="P336" s="1459"/>
      <c r="Q336" s="1459"/>
      <c r="R336" s="1459"/>
      <c r="S336" s="1459"/>
      <c r="T336" s="1459"/>
      <c r="U336" s="1459"/>
      <c r="V336" s="1459"/>
      <c r="W336" s="1459"/>
      <c r="X336" s="1459"/>
      <c r="Y336" s="1459"/>
      <c r="Z336" s="1459"/>
      <c r="AA336" s="1459"/>
      <c r="AB336" s="1459"/>
      <c r="AC336" s="1459"/>
      <c r="AD336" s="1459"/>
      <c r="AE336" s="1459"/>
      <c r="AF336" s="1459"/>
      <c r="AG336" s="1459"/>
      <c r="AH336" s="1459"/>
      <c r="AI336" s="1459"/>
      <c r="AJ336" s="1459"/>
      <c r="AK336" s="1459"/>
      <c r="AL336" s="1459"/>
      <c r="AM336" s="1459"/>
      <c r="AN336" s="1459"/>
      <c r="AO336" s="1459"/>
      <c r="AP336" s="1459"/>
      <c r="AQ336" s="1459"/>
      <c r="AR336" s="1459"/>
      <c r="AS336" s="1459"/>
      <c r="AT336" s="1459"/>
      <c r="AU336" s="1459"/>
      <c r="AV336" s="1459"/>
      <c r="AW336" s="1459"/>
      <c r="AX336" s="1459"/>
      <c r="AY336" s="1459"/>
      <c r="AZ336" s="1459"/>
      <c r="BA336" s="1459"/>
      <c r="BB336" s="1459"/>
      <c r="BC336" s="1459"/>
      <c r="BD336" s="1459"/>
      <c r="BE336" s="1459"/>
      <c r="BF336" s="1459"/>
      <c r="BG336" s="1459"/>
      <c r="BH336" s="1459"/>
      <c r="BI336" s="1459"/>
      <c r="BJ336" s="1459"/>
      <c r="BK336" s="1459"/>
      <c r="BL336" s="1459"/>
    </row>
    <row r="337" spans="1:64">
      <c r="A337" s="1623" t="s">
        <v>2184</v>
      </c>
      <c r="B337" s="1249">
        <f>IF(einmaligesEK!H35&lt;=100,0,IF(einmaligesEK!H35&lt;=1000,einmaligesEK!H35-100,IF(einmaligesEK!H35&gt;1000,1000-100)))</f>
        <v>0</v>
      </c>
      <c r="C337" s="869" t="s">
        <v>2185</v>
      </c>
      <c r="D337" s="1624">
        <f>B337*20/100</f>
        <v>0</v>
      </c>
      <c r="J337" s="1459"/>
      <c r="K337" s="1459"/>
      <c r="L337" s="1459"/>
      <c r="M337" s="1459"/>
      <c r="N337" s="1459"/>
      <c r="O337" s="1459"/>
      <c r="P337" s="1459"/>
      <c r="Q337" s="1459"/>
      <c r="R337" s="1459"/>
      <c r="S337" s="1459"/>
      <c r="T337" s="1459"/>
      <c r="U337" s="1459"/>
      <c r="V337" s="1459"/>
      <c r="W337" s="1459"/>
      <c r="X337" s="1459"/>
      <c r="Y337" s="1459"/>
      <c r="Z337" s="1459"/>
      <c r="AA337" s="1459"/>
      <c r="AB337" s="1459"/>
      <c r="AC337" s="1459"/>
      <c r="AD337" s="1459"/>
      <c r="AE337" s="1459"/>
      <c r="AF337" s="1459"/>
      <c r="AG337" s="1459"/>
      <c r="AH337" s="1459"/>
      <c r="AI337" s="1459"/>
      <c r="AJ337" s="1459"/>
      <c r="AK337" s="1459"/>
      <c r="AL337" s="1459"/>
      <c r="AM337" s="1459"/>
      <c r="AN337" s="1459"/>
      <c r="AO337" s="1459"/>
      <c r="AP337" s="1459"/>
      <c r="AQ337" s="1459"/>
      <c r="AR337" s="1459"/>
      <c r="AS337" s="1459"/>
      <c r="AT337" s="1459"/>
      <c r="AU337" s="1459"/>
      <c r="AV337" s="1459"/>
      <c r="AW337" s="1459"/>
      <c r="AX337" s="1459"/>
      <c r="AY337" s="1459"/>
      <c r="AZ337" s="1459"/>
      <c r="BA337" s="1459"/>
      <c r="BB337" s="1459"/>
      <c r="BC337" s="1459"/>
      <c r="BD337" s="1459"/>
      <c r="BE337" s="1459"/>
      <c r="BF337" s="1459"/>
      <c r="BG337" s="1459"/>
      <c r="BH337" s="1459"/>
      <c r="BI337" s="1459"/>
      <c r="BJ337" s="1459"/>
      <c r="BK337" s="1459"/>
      <c r="BL337" s="1459"/>
    </row>
    <row r="338" spans="1:64" ht="20.100000000000001" customHeight="1">
      <c r="A338" s="1623" t="s">
        <v>2186</v>
      </c>
      <c r="B338" s="1249">
        <f>IF(einmaligesEK!H35&lt;1000.01,0,IF(AND(einmaligesEK!H35&gt;1000,einmaligesEK!H35&lt;=1200),einmaligesEK!H35-B337-100,IF(einmaligesEK!H35&gt;1200,1200-B337-100,)))</f>
        <v>0</v>
      </c>
      <c r="C338" s="869" t="s">
        <v>2187</v>
      </c>
      <c r="D338" s="1624">
        <f>B338*10/100</f>
        <v>0</v>
      </c>
      <c r="J338" s="1459"/>
      <c r="K338" s="1459"/>
      <c r="L338" s="1459"/>
      <c r="M338" s="1459"/>
      <c r="N338" s="1459"/>
      <c r="O338" s="1459"/>
      <c r="P338" s="1459"/>
      <c r="Q338" s="1459"/>
      <c r="R338" s="1459"/>
      <c r="S338" s="1459"/>
      <c r="T338" s="1459"/>
      <c r="U338" s="1459"/>
      <c r="V338" s="1459"/>
      <c r="W338" s="1459"/>
      <c r="X338" s="1459"/>
      <c r="Y338" s="1459"/>
      <c r="Z338" s="1459"/>
      <c r="AA338" s="1459"/>
      <c r="AB338" s="1459"/>
      <c r="AC338" s="1459"/>
      <c r="AD338" s="1459"/>
      <c r="AE338" s="1459"/>
      <c r="AF338" s="1459"/>
      <c r="AG338" s="1459"/>
      <c r="AH338" s="1459"/>
      <c r="AI338" s="1459"/>
      <c r="AJ338" s="1459"/>
      <c r="AK338" s="1459"/>
      <c r="AL338" s="1459"/>
      <c r="AM338" s="1459"/>
      <c r="AN338" s="1459"/>
      <c r="AO338" s="1459"/>
      <c r="AP338" s="1459"/>
      <c r="AQ338" s="1459"/>
      <c r="AR338" s="1459"/>
      <c r="AS338" s="1459"/>
      <c r="AT338" s="1459"/>
      <c r="AU338" s="1459"/>
      <c r="AV338" s="1459"/>
      <c r="AW338" s="1459"/>
      <c r="AX338" s="1459"/>
      <c r="AY338" s="1459"/>
      <c r="AZ338" s="1459"/>
      <c r="BA338" s="1459"/>
      <c r="BB338" s="1459"/>
      <c r="BC338" s="1459"/>
      <c r="BD338" s="1459"/>
      <c r="BE338" s="1459"/>
      <c r="BF338" s="1459"/>
      <c r="BG338" s="1459"/>
      <c r="BH338" s="1459"/>
      <c r="BI338" s="1459"/>
      <c r="BJ338" s="1459"/>
      <c r="BK338" s="1459"/>
      <c r="BL338" s="1459"/>
    </row>
    <row r="339" spans="1:64">
      <c r="A339" s="1625" t="s">
        <v>141</v>
      </c>
      <c r="B339" s="1445"/>
      <c r="C339" s="1445"/>
      <c r="D339" s="1626">
        <f>SUM(D337:D338)</f>
        <v>0</v>
      </c>
      <c r="J339" s="1459"/>
      <c r="K339" s="1459"/>
      <c r="L339" s="1459"/>
      <c r="M339" s="1459"/>
      <c r="N339" s="1459"/>
      <c r="O339" s="1459"/>
      <c r="P339" s="1459"/>
      <c r="Q339" s="1459"/>
      <c r="R339" s="1459"/>
      <c r="S339" s="1459"/>
      <c r="T339" s="1459"/>
      <c r="U339" s="1459"/>
      <c r="V339" s="1459"/>
      <c r="W339" s="1459"/>
      <c r="X339" s="1459"/>
      <c r="Y339" s="1459"/>
      <c r="Z339" s="1459"/>
      <c r="AA339" s="1459"/>
      <c r="AB339" s="1459"/>
      <c r="AC339" s="1459"/>
      <c r="AD339" s="1459"/>
      <c r="AE339" s="1459"/>
      <c r="AF339" s="1459"/>
      <c r="AG339" s="1459"/>
      <c r="AH339" s="1459"/>
      <c r="AI339" s="1459"/>
      <c r="AJ339" s="1459"/>
      <c r="AK339" s="1459"/>
      <c r="AL339" s="1459"/>
      <c r="AM339" s="1459"/>
      <c r="AN339" s="1459"/>
      <c r="AO339" s="1459"/>
      <c r="AP339" s="1459"/>
      <c r="AQ339" s="1459"/>
      <c r="AR339" s="1459"/>
      <c r="AS339" s="1459"/>
      <c r="AT339" s="1459"/>
      <c r="AU339" s="1459"/>
      <c r="AV339" s="1459"/>
      <c r="AW339" s="1459"/>
      <c r="AX339" s="1459"/>
      <c r="AY339" s="1459"/>
      <c r="AZ339" s="1459"/>
      <c r="BA339" s="1459"/>
      <c r="BB339" s="1459"/>
      <c r="BC339" s="1459"/>
      <c r="BD339" s="1459"/>
      <c r="BE339" s="1459"/>
      <c r="BF339" s="1459"/>
      <c r="BG339" s="1459"/>
      <c r="BH339" s="1459"/>
      <c r="BI339" s="1459"/>
      <c r="BJ339" s="1459"/>
      <c r="BK339" s="1459"/>
      <c r="BL339" s="1459"/>
    </row>
    <row r="340" spans="1:64">
      <c r="J340" s="1459"/>
      <c r="K340" s="1459"/>
      <c r="L340" s="1459"/>
      <c r="M340" s="1459"/>
      <c r="N340" s="1459"/>
      <c r="O340" s="1459"/>
      <c r="P340" s="1459"/>
      <c r="Q340" s="1459"/>
      <c r="R340" s="1459"/>
      <c r="S340" s="1459"/>
      <c r="T340" s="1459"/>
      <c r="U340" s="1459"/>
      <c r="V340" s="1459"/>
      <c r="W340" s="1459"/>
      <c r="X340" s="1459"/>
      <c r="Y340" s="1459"/>
      <c r="Z340" s="1459"/>
      <c r="AA340" s="1459"/>
      <c r="AB340" s="1459"/>
      <c r="AC340" s="1459"/>
      <c r="AD340" s="1459"/>
      <c r="AE340" s="1459"/>
      <c r="AF340" s="1459"/>
      <c r="AG340" s="1459"/>
      <c r="AH340" s="1459"/>
      <c r="AI340" s="1459"/>
      <c r="AJ340" s="1459"/>
      <c r="AK340" s="1459"/>
      <c r="AL340" s="1459"/>
      <c r="AM340" s="1459"/>
      <c r="AN340" s="1459"/>
      <c r="AO340" s="1459"/>
      <c r="AP340" s="1459"/>
      <c r="AQ340" s="1459"/>
      <c r="AR340" s="1459"/>
      <c r="AS340" s="1459"/>
      <c r="AT340" s="1459"/>
      <c r="AU340" s="1459"/>
      <c r="AV340" s="1459"/>
      <c r="AW340" s="1459"/>
      <c r="AX340" s="1459"/>
      <c r="AY340" s="1459"/>
      <c r="AZ340" s="1459"/>
      <c r="BA340" s="1459"/>
      <c r="BB340" s="1459"/>
      <c r="BC340" s="1459"/>
      <c r="BD340" s="1459"/>
      <c r="BE340" s="1459"/>
      <c r="BF340" s="1459"/>
      <c r="BG340" s="1459"/>
      <c r="BH340" s="1459"/>
      <c r="BI340" s="1459"/>
      <c r="BJ340" s="1459"/>
      <c r="BK340" s="1459"/>
      <c r="BL340" s="1459"/>
    </row>
    <row r="341" spans="1:64">
      <c r="A341" s="1619" t="s">
        <v>2193</v>
      </c>
      <c r="B341" s="1620"/>
      <c r="C341" s="1621"/>
      <c r="D341" s="1442"/>
      <c r="J341" s="1459"/>
      <c r="K341" s="1459"/>
      <c r="L341" s="1459"/>
      <c r="M341" s="1459"/>
      <c r="N341" s="1459"/>
      <c r="O341" s="1459"/>
      <c r="P341" s="1459"/>
      <c r="Q341" s="1459"/>
      <c r="R341" s="1459"/>
      <c r="S341" s="1459"/>
      <c r="T341" s="1459"/>
      <c r="U341" s="1459"/>
      <c r="V341" s="1459"/>
      <c r="W341" s="1459"/>
      <c r="X341" s="1459"/>
      <c r="Y341" s="1459"/>
      <c r="Z341" s="1459"/>
      <c r="AA341" s="1459"/>
      <c r="AB341" s="1459"/>
      <c r="AC341" s="1459"/>
      <c r="AD341" s="1459"/>
      <c r="AE341" s="1459"/>
      <c r="AF341" s="1459"/>
      <c r="AG341" s="1459"/>
      <c r="AH341" s="1459"/>
      <c r="AI341" s="1459"/>
      <c r="AJ341" s="1459"/>
      <c r="AK341" s="1459"/>
      <c r="AL341" s="1459"/>
      <c r="AM341" s="1459"/>
      <c r="AN341" s="1459"/>
      <c r="AO341" s="1459"/>
      <c r="AP341" s="1459"/>
      <c r="AQ341" s="1459"/>
      <c r="AR341" s="1459"/>
      <c r="AS341" s="1459"/>
      <c r="AT341" s="1459"/>
      <c r="AU341" s="1459"/>
      <c r="AV341" s="1459"/>
      <c r="AW341" s="1459"/>
      <c r="AX341" s="1459"/>
      <c r="AY341" s="1459"/>
      <c r="AZ341" s="1459"/>
      <c r="BA341" s="1459"/>
      <c r="BB341" s="1459"/>
      <c r="BC341" s="1459"/>
      <c r="BD341" s="1459"/>
      <c r="BE341" s="1459"/>
      <c r="BF341" s="1459"/>
      <c r="BG341" s="1459"/>
      <c r="BH341" s="1459"/>
      <c r="BI341" s="1459"/>
      <c r="BJ341" s="1459"/>
      <c r="BK341" s="1459"/>
      <c r="BL341" s="1459"/>
    </row>
    <row r="342" spans="1:64">
      <c r="A342" s="1623" t="s">
        <v>2184</v>
      </c>
      <c r="B342" s="1249">
        <f>IF(einmaligesEK!I35&lt;=100,0,IF(einmaligesEK!I35&lt;=1000,einmaligesEK!I35-100,IF(einmaligesEK!I35&gt;1000,1000-100)))</f>
        <v>0</v>
      </c>
      <c r="C342" s="869" t="s">
        <v>2185</v>
      </c>
      <c r="D342" s="1624">
        <f>B342*20/100</f>
        <v>0</v>
      </c>
      <c r="J342" s="1459"/>
      <c r="K342" s="1459"/>
      <c r="L342" s="1459"/>
      <c r="M342" s="1459"/>
      <c r="N342" s="1459"/>
      <c r="O342" s="1459"/>
      <c r="P342" s="1459"/>
      <c r="Q342" s="1459"/>
      <c r="R342" s="1459"/>
      <c r="S342" s="1459"/>
      <c r="T342" s="1459"/>
      <c r="U342" s="1459"/>
      <c r="V342" s="1459"/>
      <c r="W342" s="1459"/>
      <c r="X342" s="1459"/>
      <c r="Y342" s="1459"/>
      <c r="Z342" s="1459"/>
      <c r="AA342" s="1459"/>
      <c r="AB342" s="1459"/>
      <c r="AC342" s="1459"/>
      <c r="AD342" s="1459"/>
      <c r="AE342" s="1459"/>
      <c r="AF342" s="1459"/>
      <c r="AG342" s="1459"/>
      <c r="AH342" s="1459"/>
      <c r="AI342" s="1459"/>
      <c r="AJ342" s="1459"/>
      <c r="AK342" s="1459"/>
      <c r="AL342" s="1459"/>
      <c r="AM342" s="1459"/>
      <c r="AN342" s="1459"/>
      <c r="AO342" s="1459"/>
      <c r="AP342" s="1459"/>
      <c r="AQ342" s="1459"/>
      <c r="AR342" s="1459"/>
      <c r="AS342" s="1459"/>
      <c r="AT342" s="1459"/>
      <c r="AU342" s="1459"/>
      <c r="AV342" s="1459"/>
      <c r="AW342" s="1459"/>
      <c r="AX342" s="1459"/>
      <c r="AY342" s="1459"/>
      <c r="AZ342" s="1459"/>
      <c r="BA342" s="1459"/>
      <c r="BB342" s="1459"/>
      <c r="BC342" s="1459"/>
      <c r="BD342" s="1459"/>
      <c r="BE342" s="1459"/>
      <c r="BF342" s="1459"/>
      <c r="BG342" s="1459"/>
      <c r="BH342" s="1459"/>
      <c r="BI342" s="1459"/>
      <c r="BJ342" s="1459"/>
      <c r="BK342" s="1459"/>
      <c r="BL342" s="1459"/>
    </row>
    <row r="343" spans="1:64">
      <c r="A343" s="1623" t="s">
        <v>2186</v>
      </c>
      <c r="B343" s="1249">
        <f>IF(einmaligesEK!I35&lt;1000.01,0,IF(AND(einmaligesEK!I35&gt;1000,einmaligesEK!I35&lt;=1200),einmaligesEK!I35-B342-100,IF(einmaligesEK!I35&gt;1200,1200-B342-100,)))</f>
        <v>0</v>
      </c>
      <c r="C343" s="869" t="s">
        <v>2187</v>
      </c>
      <c r="D343" s="1624">
        <f>B343*10/100</f>
        <v>0</v>
      </c>
      <c r="J343" s="1459"/>
      <c r="K343" s="1459"/>
      <c r="L343" s="1459"/>
      <c r="M343" s="1459"/>
      <c r="N343" s="1459"/>
      <c r="O343" s="1459"/>
      <c r="P343" s="1459"/>
      <c r="Q343" s="1459"/>
      <c r="R343" s="1459"/>
      <c r="S343" s="1459"/>
      <c r="T343" s="1459"/>
      <c r="U343" s="1459"/>
      <c r="V343" s="1459"/>
      <c r="W343" s="1459"/>
      <c r="X343" s="1459"/>
      <c r="Y343" s="1459"/>
      <c r="Z343" s="1459"/>
      <c r="AA343" s="1459"/>
      <c r="AB343" s="1459"/>
      <c r="AC343" s="1459"/>
      <c r="AD343" s="1459"/>
      <c r="AE343" s="1459"/>
      <c r="AF343" s="1459"/>
      <c r="AG343" s="1459"/>
      <c r="AH343" s="1459"/>
      <c r="AI343" s="1459"/>
      <c r="AJ343" s="1459"/>
      <c r="AK343" s="1459"/>
      <c r="AL343" s="1459"/>
      <c r="AM343" s="1459"/>
      <c r="AN343" s="1459"/>
      <c r="AO343" s="1459"/>
      <c r="AP343" s="1459"/>
      <c r="AQ343" s="1459"/>
      <c r="AR343" s="1459"/>
      <c r="AS343" s="1459"/>
      <c r="AT343" s="1459"/>
      <c r="AU343" s="1459"/>
      <c r="AV343" s="1459"/>
      <c r="AW343" s="1459"/>
      <c r="AX343" s="1459"/>
      <c r="AY343" s="1459"/>
      <c r="AZ343" s="1459"/>
      <c r="BA343" s="1459"/>
      <c r="BB343" s="1459"/>
      <c r="BC343" s="1459"/>
      <c r="BD343" s="1459"/>
      <c r="BE343" s="1459"/>
      <c r="BF343" s="1459"/>
      <c r="BG343" s="1459"/>
      <c r="BH343" s="1459"/>
      <c r="BI343" s="1459"/>
      <c r="BJ343" s="1459"/>
      <c r="BK343" s="1459"/>
      <c r="BL343" s="1459"/>
    </row>
    <row r="344" spans="1:64">
      <c r="A344" s="1625" t="s">
        <v>141</v>
      </c>
      <c r="B344" s="1445"/>
      <c r="C344" s="1445"/>
      <c r="D344" s="1626">
        <f>SUM(D342:D343)</f>
        <v>0</v>
      </c>
      <c r="J344" s="1459"/>
      <c r="K344" s="1459"/>
      <c r="L344" s="1459"/>
      <c r="M344" s="1459"/>
      <c r="N344" s="1459"/>
      <c r="O344" s="1459"/>
      <c r="P344" s="1459"/>
      <c r="Q344" s="1459"/>
      <c r="R344" s="1459"/>
      <c r="S344" s="1459"/>
      <c r="T344" s="1459"/>
      <c r="U344" s="1459"/>
      <c r="V344" s="1459"/>
      <c r="W344" s="1459"/>
      <c r="X344" s="1459"/>
      <c r="Y344" s="1459"/>
      <c r="Z344" s="1459"/>
      <c r="AA344" s="1459"/>
      <c r="AB344" s="1459"/>
      <c r="AC344" s="1459"/>
      <c r="AD344" s="1459"/>
      <c r="AE344" s="1459"/>
      <c r="AF344" s="1459"/>
      <c r="AG344" s="1459"/>
      <c r="AH344" s="1459"/>
      <c r="AI344" s="1459"/>
      <c r="AJ344" s="1459"/>
      <c r="AK344" s="1459"/>
      <c r="AL344" s="1459"/>
      <c r="AM344" s="1459"/>
      <c r="AN344" s="1459"/>
      <c r="AO344" s="1459"/>
      <c r="AP344" s="1459"/>
      <c r="AQ344" s="1459"/>
      <c r="AR344" s="1459"/>
      <c r="AS344" s="1459"/>
      <c r="AT344" s="1459"/>
      <c r="AU344" s="1459"/>
      <c r="AV344" s="1459"/>
      <c r="AW344" s="1459"/>
      <c r="AX344" s="1459"/>
      <c r="AY344" s="1459"/>
      <c r="AZ344" s="1459"/>
      <c r="BA344" s="1459"/>
      <c r="BB344" s="1459"/>
      <c r="BC344" s="1459"/>
      <c r="BD344" s="1459"/>
      <c r="BE344" s="1459"/>
      <c r="BF344" s="1459"/>
      <c r="BG344" s="1459"/>
      <c r="BH344" s="1459"/>
      <c r="BI344" s="1459"/>
      <c r="BJ344" s="1459"/>
      <c r="BK344" s="1459"/>
      <c r="BL344" s="1459"/>
    </row>
    <row r="345" spans="1:64">
      <c r="J345" s="1459"/>
      <c r="K345" s="1459"/>
      <c r="L345" s="1459"/>
      <c r="M345" s="1459"/>
      <c r="N345" s="1459"/>
      <c r="O345" s="1459"/>
      <c r="P345" s="1459"/>
      <c r="Q345" s="1459"/>
      <c r="R345" s="1459"/>
      <c r="S345" s="1459"/>
      <c r="T345" s="1459"/>
      <c r="U345" s="1459"/>
      <c r="V345" s="1459"/>
      <c r="W345" s="1459"/>
      <c r="X345" s="1459"/>
      <c r="Y345" s="1459"/>
      <c r="Z345" s="1459"/>
      <c r="AA345" s="1459"/>
      <c r="AB345" s="1459"/>
      <c r="AC345" s="1459"/>
      <c r="AD345" s="1459"/>
      <c r="AE345" s="1459"/>
      <c r="AF345" s="1459"/>
      <c r="AG345" s="1459"/>
      <c r="AH345" s="1459"/>
      <c r="AI345" s="1459"/>
      <c r="AJ345" s="1459"/>
      <c r="AK345" s="1459"/>
      <c r="AL345" s="1459"/>
      <c r="AM345" s="1459"/>
      <c r="AN345" s="1459"/>
      <c r="AO345" s="1459"/>
      <c r="AP345" s="1459"/>
      <c r="AQ345" s="1459"/>
      <c r="AR345" s="1459"/>
      <c r="AS345" s="1459"/>
      <c r="AT345" s="1459"/>
      <c r="AU345" s="1459"/>
      <c r="AV345" s="1459"/>
      <c r="AW345" s="1459"/>
      <c r="AX345" s="1459"/>
      <c r="AY345" s="1459"/>
      <c r="AZ345" s="1459"/>
      <c r="BA345" s="1459"/>
      <c r="BB345" s="1459"/>
      <c r="BC345" s="1459"/>
      <c r="BD345" s="1459"/>
      <c r="BE345" s="1459"/>
      <c r="BF345" s="1459"/>
      <c r="BG345" s="1459"/>
      <c r="BH345" s="1459"/>
      <c r="BI345" s="1459"/>
      <c r="BJ345" s="1459"/>
      <c r="BK345" s="1459"/>
      <c r="BL345" s="1459"/>
    </row>
    <row r="346" spans="1:64">
      <c r="J346" s="1459"/>
      <c r="K346" s="1459"/>
      <c r="L346" s="1459"/>
      <c r="M346" s="1459"/>
      <c r="N346" s="1459"/>
      <c r="O346" s="1459"/>
      <c r="P346" s="1459"/>
      <c r="Q346" s="1459"/>
      <c r="R346" s="1459"/>
      <c r="S346" s="1459"/>
      <c r="T346" s="1459"/>
      <c r="U346" s="1459"/>
      <c r="V346" s="1459"/>
      <c r="W346" s="1459"/>
      <c r="X346" s="1459"/>
      <c r="Y346" s="1459"/>
      <c r="Z346" s="1459"/>
      <c r="AA346" s="1459"/>
      <c r="AB346" s="1459"/>
      <c r="AC346" s="1459"/>
      <c r="AD346" s="1459"/>
      <c r="AE346" s="1459"/>
      <c r="AF346" s="1459"/>
      <c r="AG346" s="1459"/>
      <c r="AH346" s="1459"/>
      <c r="AI346" s="1459"/>
      <c r="AJ346" s="1459"/>
      <c r="AK346" s="1459"/>
      <c r="AL346" s="1459"/>
      <c r="AM346" s="1459"/>
      <c r="AN346" s="1459"/>
      <c r="AO346" s="1459"/>
      <c r="AP346" s="1459"/>
      <c r="AQ346" s="1459"/>
      <c r="AR346" s="1459"/>
      <c r="AS346" s="1459"/>
      <c r="AT346" s="1459"/>
      <c r="AU346" s="1459"/>
      <c r="AV346" s="1459"/>
      <c r="AW346" s="1459"/>
      <c r="AX346" s="1459"/>
      <c r="AY346" s="1459"/>
      <c r="AZ346" s="1459"/>
      <c r="BA346" s="1459"/>
      <c r="BB346" s="1459"/>
      <c r="BC346" s="1459"/>
      <c r="BD346" s="1459"/>
      <c r="BE346" s="1459"/>
      <c r="BF346" s="1459"/>
      <c r="BG346" s="1459"/>
      <c r="BH346" s="1459"/>
      <c r="BI346" s="1459"/>
      <c r="BJ346" s="1459"/>
      <c r="BK346" s="1459"/>
      <c r="BL346" s="1459"/>
    </row>
  </sheetData>
  <sheetProtection sheet="1" objects="1" scenarios="1"/>
  <mergeCells count="2">
    <mergeCell ref="A2:I2"/>
    <mergeCell ref="B3:C3"/>
  </mergeCells>
  <conditionalFormatting sqref="B21:B47 B167:B170 B174 E171:I173 C47:I47 B50:C50 B13:B19 B49 B193:B198 B186:B188 B54:B55 B61:B71 B75:B142">
    <cfRule type="cellIs" dxfId="108" priority="2" operator="equal">
      <formula>0</formula>
    </cfRule>
  </conditionalFormatting>
  <conditionalFormatting sqref="B181:I181 B191:I191 B199:I200">
    <cfRule type="cellIs" dxfId="107" priority="3" operator="equal">
      <formula>0</formula>
    </cfRule>
  </conditionalFormatting>
  <conditionalFormatting sqref="A172">
    <cfRule type="cellIs" dxfId="106" priority="4" operator="equal">
      <formula>"Mehrbedarf nach § 27 (2) SGB II"</formula>
    </cfRule>
  </conditionalFormatting>
  <conditionalFormatting sqref="C172:D173">
    <cfRule type="cellIs" dxfId="105" priority="5" operator="notEqual">
      <formula>0</formula>
    </cfRule>
  </conditionalFormatting>
  <conditionalFormatting sqref="C177">
    <cfRule type="expression" dxfId="104" priority="6">
      <formula>$C$172&gt;0</formula>
    </cfRule>
  </conditionalFormatting>
  <conditionalFormatting sqref="A173">
    <cfRule type="cellIs" dxfId="103" priority="7" operator="equal">
      <formula>"./. Überschuss"</formula>
    </cfRule>
  </conditionalFormatting>
  <conditionalFormatting sqref="D177">
    <cfRule type="expression" dxfId="102" priority="8">
      <formula>$D$172&gt;0</formula>
    </cfRule>
  </conditionalFormatting>
  <conditionalFormatting sqref="C136:D136">
    <cfRule type="cellIs" dxfId="101" priority="9" operator="equal">
      <formula>0</formula>
    </cfRule>
  </conditionalFormatting>
  <conditionalFormatting sqref="E136:I136">
    <cfRule type="cellIs" dxfId="100" priority="10" operator="equal">
      <formula>0</formula>
    </cfRule>
  </conditionalFormatting>
  <conditionalFormatting sqref="C91:I91">
    <cfRule type="cellIs" dxfId="99" priority="11" operator="equal">
      <formula>0</formula>
    </cfRule>
  </conditionalFormatting>
  <conditionalFormatting sqref="C129:I129">
    <cfRule type="cellIs" dxfId="98" priority="12" operator="equal">
      <formula>0</formula>
    </cfRule>
  </conditionalFormatting>
  <conditionalFormatting sqref="C131:I131">
    <cfRule type="cellIs" dxfId="97" priority="13" operator="equal">
      <formula>0</formula>
    </cfRule>
  </conditionalFormatting>
  <conditionalFormatting sqref="C56:I59">
    <cfRule type="cellIs" dxfId="96" priority="14" operator="equal">
      <formula>0</formula>
    </cfRule>
  </conditionalFormatting>
  <conditionalFormatting sqref="B56:B60">
    <cfRule type="cellIs" dxfId="95" priority="15" operator="equal">
      <formula>0</formula>
    </cfRule>
  </conditionalFormatting>
  <conditionalFormatting sqref="C72:I73">
    <cfRule type="cellIs" dxfId="94" priority="16" operator="equal">
      <formula>0</formula>
    </cfRule>
  </conditionalFormatting>
  <conditionalFormatting sqref="B72:B74">
    <cfRule type="cellIs" dxfId="93" priority="17" operator="equal">
      <formula>0</formula>
    </cfRule>
  </conditionalFormatting>
  <conditionalFormatting sqref="C132:I132">
    <cfRule type="cellIs" dxfId="92" priority="18" operator="equal">
      <formula>0</formula>
    </cfRule>
  </conditionalFormatting>
  <conditionalFormatting sqref="C133:I133">
    <cfRule type="cellIs" dxfId="91" priority="19" operator="equal">
      <formula>0</formula>
    </cfRule>
  </conditionalFormatting>
  <conditionalFormatting sqref="C138:I138">
    <cfRule type="cellIs" dxfId="90" priority="20" operator="equal">
      <formula>0</formula>
    </cfRule>
  </conditionalFormatting>
  <conditionalFormatting sqref="E139:I139">
    <cfRule type="cellIs" dxfId="89" priority="21" operator="equal">
      <formula>0</formula>
    </cfRule>
  </conditionalFormatting>
  <conditionalFormatting sqref="C84:I84">
    <cfRule type="cellIs" dxfId="88" priority="22" operator="equal">
      <formula>0</formula>
    </cfRule>
  </conditionalFormatting>
  <conditionalFormatting sqref="C85:I85">
    <cfRule type="cellIs" dxfId="87" priority="23" operator="equal">
      <formula>0</formula>
    </cfRule>
  </conditionalFormatting>
  <conditionalFormatting sqref="C93:I93">
    <cfRule type="cellIs" dxfId="86" priority="24" operator="equal">
      <formula>0</formula>
    </cfRule>
  </conditionalFormatting>
  <conditionalFormatting sqref="C100:I100">
    <cfRule type="cellIs" dxfId="85" priority="25" operator="equal">
      <formula>0</formula>
    </cfRule>
  </conditionalFormatting>
  <conditionalFormatting sqref="C107:I107">
    <cfRule type="cellIs" dxfId="84" priority="26" operator="equal">
      <formula>0</formula>
    </cfRule>
  </conditionalFormatting>
  <conditionalFormatting sqref="C114:I114">
    <cfRule type="cellIs" dxfId="83" priority="27" operator="equal">
      <formula>0</formula>
    </cfRule>
  </conditionalFormatting>
  <conditionalFormatting sqref="C121:I121">
    <cfRule type="cellIs" dxfId="82" priority="28" operator="equal">
      <formula>0</formula>
    </cfRule>
  </conditionalFormatting>
  <conditionalFormatting sqref="C127:I127">
    <cfRule type="cellIs" dxfId="81" priority="29" operator="equal">
      <formula>0</formula>
    </cfRule>
  </conditionalFormatting>
  <conditionalFormatting sqref="A60">
    <cfRule type="cellIs" dxfId="80" priority="30" operator="greaterThan">
      <formula>0</formula>
    </cfRule>
  </conditionalFormatting>
  <conditionalFormatting sqref="A74">
    <cfRule type="cellIs" dxfId="79" priority="31" operator="greaterThan">
      <formula>0</formula>
    </cfRule>
  </conditionalFormatting>
  <conditionalFormatting sqref="C137:I137">
    <cfRule type="cellIs" dxfId="78" priority="32" operator="equal">
      <formula>0</formula>
    </cfRule>
  </conditionalFormatting>
  <conditionalFormatting sqref="C92:I92">
    <cfRule type="cellIs" dxfId="77" priority="33" operator="equal">
      <formula>0</formula>
    </cfRule>
  </conditionalFormatting>
  <conditionalFormatting sqref="C99:I99">
    <cfRule type="cellIs" dxfId="76" priority="34" operator="equal">
      <formula>0</formula>
    </cfRule>
  </conditionalFormatting>
  <conditionalFormatting sqref="C106:I106">
    <cfRule type="cellIs" dxfId="75" priority="35" operator="equal">
      <formula>0</formula>
    </cfRule>
  </conditionalFormatting>
  <pageMargins left="1.10208333333333" right="0.70833333333333304" top="0.196527777777778" bottom="0.196527777777778"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dimension ref="A1:BL307"/>
  <sheetViews>
    <sheetView showGridLines="0" zoomScale="118" zoomScaleNormal="118" workbookViewId="0">
      <pane xSplit="9" ySplit="35" topLeftCell="J36" activePane="bottomRight" state="frozen"/>
      <selection pane="topRight" activeCell="J1" sqref="J1"/>
      <selection pane="bottomLeft" activeCell="A36" sqref="A36"/>
      <selection pane="bottomRight" activeCell="B102" sqref="B102"/>
    </sheetView>
  </sheetViews>
  <sheetFormatPr baseColWidth="10" defaultColWidth="11.5703125" defaultRowHeight="12.75"/>
  <cols>
    <col min="1" max="1" width="47.42578125" customWidth="1"/>
    <col min="2" max="2" width="14.140625" customWidth="1"/>
    <col min="3" max="4" width="13.28515625" customWidth="1"/>
    <col min="5" max="5" width="12.42578125" customWidth="1"/>
    <col min="6" max="7" width="12.5703125" customWidth="1"/>
    <col min="8" max="8" width="12.42578125" customWidth="1"/>
    <col min="9" max="9" width="12.85546875" customWidth="1"/>
    <col min="10" max="64" width="10.5703125" customWidth="1"/>
  </cols>
  <sheetData>
    <row r="1" spans="1:64" ht="23.25">
      <c r="A1" s="1644"/>
      <c r="B1" s="1645" t="s">
        <v>2336</v>
      </c>
      <c r="C1" s="1646"/>
      <c r="D1" s="1647"/>
      <c r="E1" s="1646"/>
      <c r="F1" s="1646"/>
      <c r="G1" s="1648"/>
      <c r="H1" s="1648"/>
      <c r="I1" s="1649"/>
      <c r="J1" s="284"/>
      <c r="K1" s="286"/>
      <c r="L1" s="286"/>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row>
    <row r="2" spans="1:64" ht="21.75" customHeight="1">
      <c r="A2" s="1650" t="s">
        <v>138</v>
      </c>
      <c r="B2" s="1997">
        <f>Zusatzeingaben!B2</f>
        <v>0</v>
      </c>
      <c r="C2" s="1997"/>
      <c r="D2" s="1651" t="s">
        <v>139</v>
      </c>
      <c r="E2" s="1652">
        <f>Zusatzeingaben!E2</f>
        <v>44774</v>
      </c>
      <c r="F2" s="1653">
        <f>EOMONTH(E2,0)</f>
        <v>44804</v>
      </c>
      <c r="G2" s="1654">
        <f>DAY(F2)</f>
        <v>31</v>
      </c>
      <c r="H2" s="1655">
        <f>IF(G2&lt;&gt;30,30,30)</f>
        <v>30</v>
      </c>
      <c r="I2" s="1656" t="str">
        <f>TEXT(E2,"MMMM")</f>
        <v>August</v>
      </c>
      <c r="J2" s="295"/>
      <c r="K2" s="286"/>
      <c r="L2" s="286"/>
    </row>
    <row r="3" spans="1:64" ht="20.25">
      <c r="A3" s="1657"/>
      <c r="B3" s="1658" t="s">
        <v>2337</v>
      </c>
      <c r="C3" s="1659"/>
      <c r="D3" s="1659"/>
      <c r="E3" s="1659"/>
      <c r="F3" s="1659"/>
      <c r="G3" s="1659"/>
      <c r="H3" s="1659"/>
      <c r="I3" s="1660"/>
      <c r="J3" s="296">
        <f>DATE(YEAR(E2),MONTH(E2)*1-300,)</f>
        <v>35642</v>
      </c>
      <c r="K3" s="297">
        <f>J3+1</f>
        <v>35643</v>
      </c>
      <c r="L3" s="298"/>
    </row>
    <row r="4" spans="1:64" ht="18">
      <c r="A4" s="352" t="s">
        <v>140</v>
      </c>
      <c r="B4" s="1661" t="s">
        <v>141</v>
      </c>
      <c r="C4" s="1662" t="str">
        <f>Zusatzeingaben!C4</f>
        <v>Antragsteller</v>
      </c>
      <c r="D4" s="1662" t="str">
        <f>Zusatzeingaben!D4</f>
        <v>Partner(in)</v>
      </c>
      <c r="E4" s="1662" t="str">
        <f>Zusatzeingaben!E4</f>
        <v>Kind 1</v>
      </c>
      <c r="F4" s="1661" t="s">
        <v>145</v>
      </c>
      <c r="G4" s="1661" t="s">
        <v>146</v>
      </c>
      <c r="H4" s="1661" t="s">
        <v>147</v>
      </c>
      <c r="I4" s="1663" t="s">
        <v>148</v>
      </c>
    </row>
    <row r="5" spans="1:64" ht="18.75" customHeight="1">
      <c r="A5" s="303" t="s">
        <v>2338</v>
      </c>
      <c r="B5" s="304">
        <f>Zusatzeingaben!B5</f>
        <v>0</v>
      </c>
      <c r="C5" s="1664">
        <f>B6+B5</f>
        <v>1</v>
      </c>
      <c r="D5" s="1665"/>
      <c r="E5" s="1665"/>
      <c r="F5" s="1665"/>
      <c r="G5" s="1665"/>
      <c r="H5" s="1665"/>
      <c r="I5" s="1666"/>
    </row>
    <row r="6" spans="1:64" ht="20.100000000000001" customHeight="1">
      <c r="A6" s="102" t="s">
        <v>2339</v>
      </c>
      <c r="B6" s="308">
        <f>COUNTIF(C33:I33,"&gt;0")</f>
        <v>1</v>
      </c>
      <c r="C6" s="1667">
        <f>Zusatzeingaben!C6</f>
        <v>0</v>
      </c>
      <c r="D6" s="1667">
        <f>Zusatzeingaben!D6</f>
        <v>0</v>
      </c>
      <c r="E6" s="1667">
        <f>Zusatzeingaben!E6</f>
        <v>0</v>
      </c>
      <c r="F6" s="1667">
        <f>Zusatzeingaben!F6</f>
        <v>0</v>
      </c>
      <c r="G6" s="1667">
        <f>Zusatzeingaben!G6</f>
        <v>0</v>
      </c>
      <c r="H6" s="1667">
        <f>Zusatzeingaben!H6</f>
        <v>0</v>
      </c>
      <c r="I6" s="1668">
        <f>Zusatzeingaben!I6</f>
        <v>0</v>
      </c>
    </row>
    <row r="7" spans="1:64" ht="20.100000000000001" hidden="1" customHeight="1">
      <c r="A7" s="1669" t="s">
        <v>2160</v>
      </c>
      <c r="B7" s="1670">
        <f>COUNTIF(E16:I16,"&lt;18")</f>
        <v>0</v>
      </c>
      <c r="C7" s="1671" t="str">
        <f>Zusatzeingaben!C7</f>
        <v>Nein</v>
      </c>
      <c r="D7" s="1671" t="str">
        <f>Zusatzeingaben!D7</f>
        <v>Nein</v>
      </c>
      <c r="E7" s="1672" t="str">
        <f>IF(AND(C7=0,$B$7&lt;1),"nein","ja")</f>
        <v>ja</v>
      </c>
      <c r="F7" s="1672" t="str">
        <f>IF(AND(D7=0,$B$7&lt;1),"nein","ja")</f>
        <v>ja</v>
      </c>
      <c r="G7" s="1673"/>
      <c r="H7" s="1673"/>
      <c r="I7" s="1674"/>
    </row>
    <row r="8" spans="1:64" ht="20.100000000000001" customHeight="1">
      <c r="A8" s="1669" t="s">
        <v>152</v>
      </c>
      <c r="B8" s="320"/>
      <c r="C8" s="316">
        <f>Zusatzeingaben!C8</f>
        <v>0</v>
      </c>
      <c r="D8" s="316">
        <f>Zusatzeingaben!D8</f>
        <v>0</v>
      </c>
      <c r="E8" s="316">
        <f>Zusatzeingaben!E8</f>
        <v>0</v>
      </c>
      <c r="F8" s="316">
        <f>Zusatzeingaben!F8</f>
        <v>0</v>
      </c>
      <c r="G8" s="316">
        <f>Zusatzeingaben!G8</f>
        <v>0</v>
      </c>
      <c r="H8" s="316">
        <f>Zusatzeingaben!H8</f>
        <v>0</v>
      </c>
      <c r="I8" s="1675">
        <f>Zusatzeingaben!I8</f>
        <v>0</v>
      </c>
      <c r="J8" s="317"/>
      <c r="K8" s="318">
        <f>IF(E8&gt;E2,E14,0)</f>
        <v>0</v>
      </c>
    </row>
    <row r="9" spans="1:64" ht="20.100000000000001" hidden="1" customHeight="1">
      <c r="A9" s="319"/>
      <c r="B9" s="320"/>
      <c r="C9" s="321">
        <f t="shared" ref="C9:I9" si="0">DAY(C8)</f>
        <v>0</v>
      </c>
      <c r="D9" s="321">
        <f t="shared" si="0"/>
        <v>0</v>
      </c>
      <c r="E9" s="321">
        <f t="shared" si="0"/>
        <v>0</v>
      </c>
      <c r="F9" s="321">
        <f t="shared" si="0"/>
        <v>0</v>
      </c>
      <c r="G9" s="321">
        <f t="shared" si="0"/>
        <v>0</v>
      </c>
      <c r="H9" s="321">
        <f t="shared" si="0"/>
        <v>0</v>
      </c>
      <c r="I9" s="322">
        <f t="shared" si="0"/>
        <v>0</v>
      </c>
    </row>
    <row r="10" spans="1:64" ht="20.100000000000001" hidden="1" customHeight="1">
      <c r="A10" s="319"/>
      <c r="B10" s="320"/>
      <c r="C10" s="321">
        <f t="shared" ref="C10:I10" si="1">C9-1</f>
        <v>-1</v>
      </c>
      <c r="D10" s="321">
        <f t="shared" si="1"/>
        <v>-1</v>
      </c>
      <c r="E10" s="321">
        <f t="shared" si="1"/>
        <v>-1</v>
      </c>
      <c r="F10" s="321">
        <f t="shared" si="1"/>
        <v>-1</v>
      </c>
      <c r="G10" s="321">
        <f t="shared" si="1"/>
        <v>-1</v>
      </c>
      <c r="H10" s="321">
        <f t="shared" si="1"/>
        <v>-1</v>
      </c>
      <c r="I10" s="322">
        <f t="shared" si="1"/>
        <v>-1</v>
      </c>
    </row>
    <row r="11" spans="1:64" ht="20.100000000000001" hidden="1" customHeight="1">
      <c r="A11" s="319"/>
      <c r="B11" s="320"/>
      <c r="C11" s="321">
        <f>IF(OR(C9=31,C9=28*(AND(I2="februar")),C9=29*(AND(I2="februar"))),29,C10)</f>
        <v>29</v>
      </c>
      <c r="D11" s="321">
        <f>IF(OR(D9=31,D9=28*(AND(I2="februar")),D9=29*(AND(I2="februar"))),29,D10)</f>
        <v>29</v>
      </c>
      <c r="E11" s="321">
        <f>IF(OR(E9=31,E9=28*(AND(I2="februar")),E9=29*(AND(I2="februar"))),29,E10)</f>
        <v>29</v>
      </c>
      <c r="F11" s="321">
        <f>IF(OR(F9=31,F9=28*(AND(I2="februar")),F9=29*(AND(I2="februar"))),29,F10)</f>
        <v>29</v>
      </c>
      <c r="G11" s="321">
        <f>IF(OR(G9=31,G9=28*(AND(I2="februar")),G9=29*(AND(I2="februar"))),29,G10)</f>
        <v>29</v>
      </c>
      <c r="H11" s="321">
        <f>IF(OR(H9=31,H9=28*(AND(I2="februar")),H9=29*(AND(I2="februar"))),29,H10)</f>
        <v>29</v>
      </c>
      <c r="I11" s="322">
        <f>IF(OR(I9=31,I9=28*(AND(I2="februar")),I9=29*(AND(I2="februar"))),29,I10)</f>
        <v>29</v>
      </c>
    </row>
    <row r="12" spans="1:64" ht="20.100000000000001" hidden="1" customHeight="1">
      <c r="A12" s="319"/>
      <c r="B12" s="320"/>
      <c r="C12" s="321">
        <f>H2-C10</f>
        <v>31</v>
      </c>
      <c r="D12" s="321">
        <f>H2-D10</f>
        <v>31</v>
      </c>
      <c r="E12" s="321">
        <f>H2-E10</f>
        <v>31</v>
      </c>
      <c r="F12" s="321">
        <f>H2-F10</f>
        <v>31</v>
      </c>
      <c r="G12" s="321">
        <f>H2-G10</f>
        <v>31</v>
      </c>
      <c r="H12" s="321">
        <f>H2-H10</f>
        <v>31</v>
      </c>
      <c r="I12" s="322">
        <f>H2-I10</f>
        <v>31</v>
      </c>
    </row>
    <row r="13" spans="1:64" ht="20.100000000000001" hidden="1" customHeight="1">
      <c r="A13" s="319"/>
      <c r="B13" s="320"/>
      <c r="C13" s="321">
        <f t="shared" ref="C13:I13" si="2">IF(C12=0,1,IF(C11=29,1,C12))</f>
        <v>1</v>
      </c>
      <c r="D13" s="321">
        <f t="shared" si="2"/>
        <v>1</v>
      </c>
      <c r="E13" s="321">
        <f t="shared" si="2"/>
        <v>1</v>
      </c>
      <c r="F13" s="321">
        <f t="shared" si="2"/>
        <v>1</v>
      </c>
      <c r="G13" s="321">
        <f t="shared" si="2"/>
        <v>1</v>
      </c>
      <c r="H13" s="321">
        <f t="shared" si="2"/>
        <v>1</v>
      </c>
      <c r="I13" s="322">
        <f t="shared" si="2"/>
        <v>1</v>
      </c>
    </row>
    <row r="14" spans="1:64" ht="20.100000000000001" hidden="1" customHeight="1">
      <c r="A14" s="319"/>
      <c r="B14" s="320"/>
      <c r="C14" s="321"/>
      <c r="D14" s="321"/>
      <c r="E14" s="321">
        <f>IF(E8&gt;E2,G2-E10,E13)</f>
        <v>1</v>
      </c>
      <c r="F14" s="321">
        <f>IF(F8&gt;E2,G2-F10,F13)</f>
        <v>1</v>
      </c>
      <c r="G14" s="321">
        <f>IF(G8&gt;E2,G2-G10,G13)</f>
        <v>1</v>
      </c>
      <c r="H14" s="321">
        <f>IF(H8&gt;E2,G2-H10,H13)</f>
        <v>1</v>
      </c>
      <c r="I14" s="322">
        <f>IF(I8&gt;E2,G2-I10,I13)</f>
        <v>1</v>
      </c>
    </row>
    <row r="15" spans="1:64" ht="16.5" hidden="1" customHeight="1">
      <c r="A15" s="323"/>
      <c r="B15" s="320"/>
      <c r="C15" s="324">
        <f>DATEDIF(C$8,E2,"y")</f>
        <v>122</v>
      </c>
      <c r="D15" s="324">
        <f>DATEDIF(D$8,E2,"y")</f>
        <v>122</v>
      </c>
      <c r="E15" s="324">
        <f>DATEDIF(E$8,E2,"y")</f>
        <v>122</v>
      </c>
      <c r="F15" s="324">
        <f>DATEDIF(F$8,E2,"y")</f>
        <v>122</v>
      </c>
      <c r="G15" s="324">
        <f>DATEDIF(G$8,E2,"y")</f>
        <v>122</v>
      </c>
      <c r="H15" s="324">
        <f>DATEDIF(H$8,E2,"y")</f>
        <v>122</v>
      </c>
      <c r="I15" s="325">
        <f>DATEDIF(I$8,E2,"y")</f>
        <v>122</v>
      </c>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row>
    <row r="16" spans="1:64" ht="16.5" hidden="1" customHeight="1">
      <c r="A16" s="326"/>
      <c r="B16" s="327"/>
      <c r="C16" s="328"/>
      <c r="D16" s="328"/>
      <c r="E16" s="328">
        <f>IF(E8&gt;E2,0,E15)</f>
        <v>122</v>
      </c>
      <c r="F16" s="328">
        <f>IF(F8&gt;E2,0,F15)</f>
        <v>122</v>
      </c>
      <c r="G16" s="328">
        <f>IF(G8&gt;E2,0,G15)</f>
        <v>122</v>
      </c>
      <c r="H16" s="328">
        <f>IF(H8&gt;E2,0,H15)</f>
        <v>122</v>
      </c>
      <c r="I16" s="329">
        <f>IF(I8&gt;E2,0,I15)</f>
        <v>122</v>
      </c>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row>
    <row r="17" spans="1:64" ht="16.5" hidden="1" customHeight="1">
      <c r="A17" s="323"/>
      <c r="B17" s="320"/>
      <c r="C17" s="324">
        <f>IF(C15=0,DATEDIF(C$8,E2,"d"),0)</f>
        <v>0</v>
      </c>
      <c r="D17" s="324">
        <f>IF(D15=0,DATEDIF(D$8,E2,"d"),0)</f>
        <v>0</v>
      </c>
      <c r="E17" s="324">
        <f>IF(E16=0,DATEDIF(E$8,E2,"d"),0)</f>
        <v>0</v>
      </c>
      <c r="F17" s="324">
        <f>IF(F15=0,DATEDIF(F$8,E2,"d"),0)</f>
        <v>0</v>
      </c>
      <c r="G17" s="324">
        <f>IF(G15=0,DATEDIF(G$8,E2,"d"),0)</f>
        <v>0</v>
      </c>
      <c r="H17" s="324">
        <f>IF(H15=0,DATEDIF(H$8,E2,"d"),0)</f>
        <v>0</v>
      </c>
      <c r="I17" s="325">
        <f>IF(I15=0,DATEDIF(I$8,E2,"d"),0)</f>
        <v>0</v>
      </c>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row>
    <row r="18" spans="1:64" ht="16.5" hidden="1" customHeight="1">
      <c r="A18" s="326"/>
      <c r="B18" s="327"/>
      <c r="C18" s="328">
        <f>DATEDIF(C$8,F2,"y")</f>
        <v>122</v>
      </c>
      <c r="D18" s="328">
        <f>DATEDIF(D$8,F2,"y")</f>
        <v>122</v>
      </c>
      <c r="E18" s="328">
        <f>DATEDIF(E$8,F2,"y")</f>
        <v>122</v>
      </c>
      <c r="F18" s="328">
        <f>DATEDIF(F$8,F2,"y")</f>
        <v>122</v>
      </c>
      <c r="G18" s="328">
        <f>DATEDIF(G$8,F2,"y")</f>
        <v>122</v>
      </c>
      <c r="H18" s="328">
        <f>DATEDIF(H$8,F2,"y")</f>
        <v>122</v>
      </c>
      <c r="I18" s="329">
        <f>DATEDIF(I$8,F2,"y")</f>
        <v>122</v>
      </c>
      <c r="J18" s="330"/>
      <c r="K18" s="331">
        <f>COUNTIF(E18:I18,"=25")</f>
        <v>0</v>
      </c>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row>
    <row r="19" spans="1:64" ht="16.5" hidden="1" customHeight="1">
      <c r="A19" s="319"/>
      <c r="B19" s="320"/>
      <c r="C19" s="324">
        <f>IF(C8=DATE(1900,1,0),0,C15)</f>
        <v>0</v>
      </c>
      <c r="D19" s="324">
        <f>IF(D8=DATE(1900,1,0),0,D15)</f>
        <v>0</v>
      </c>
      <c r="E19" s="324">
        <f>IF(E8=DATE(1900,1,0),0,E16)</f>
        <v>0</v>
      </c>
      <c r="F19" s="324">
        <f>IF(F8=DATE(1900,1,0),0,F15)</f>
        <v>0</v>
      </c>
      <c r="G19" s="324">
        <f>IF(G8=DATE(1900,1,0),0,G15)</f>
        <v>0</v>
      </c>
      <c r="H19" s="324">
        <f>IF(H8=DATE(1900,1,0),0,H15)</f>
        <v>0</v>
      </c>
      <c r="I19" s="325">
        <f>IF(I8=DATE(1900,1,0),0,I15)</f>
        <v>0</v>
      </c>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row>
    <row r="20" spans="1:64" ht="16.5" hidden="1" customHeight="1">
      <c r="A20" s="319"/>
      <c r="B20" s="320"/>
      <c r="C20" s="324">
        <f t="shared" ref="C20:I20" si="3">IF(C8=DATE(1900,1,0),0,C17)</f>
        <v>0</v>
      </c>
      <c r="D20" s="324">
        <f t="shared" si="3"/>
        <v>0</v>
      </c>
      <c r="E20" s="324">
        <f t="shared" si="3"/>
        <v>0</v>
      </c>
      <c r="F20" s="324">
        <f t="shared" si="3"/>
        <v>0</v>
      </c>
      <c r="G20" s="324">
        <f t="shared" si="3"/>
        <v>0</v>
      </c>
      <c r="H20" s="324">
        <f t="shared" si="3"/>
        <v>0</v>
      </c>
      <c r="I20" s="325">
        <f t="shared" si="3"/>
        <v>0</v>
      </c>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row>
    <row r="21" spans="1:64" ht="16.5" hidden="1" customHeight="1">
      <c r="A21" s="319"/>
      <c r="B21" s="337"/>
      <c r="C21" s="321">
        <f>IF(C19=0,0,C19)</f>
        <v>0</v>
      </c>
      <c r="D21" s="321">
        <f>IF(D19=0,0,D19)</f>
        <v>0</v>
      </c>
      <c r="E21" s="321">
        <f>IF(E19+E20=0,0,IF(E19&gt;E20,E19,1))</f>
        <v>0</v>
      </c>
      <c r="F21" s="321">
        <f>IF(F19+F20=0,0,IF(F19&gt;F20,F19,1))</f>
        <v>0</v>
      </c>
      <c r="G21" s="321">
        <f>IF(G19+G20=0,0,IF(G19&gt;G20,G19,1))</f>
        <v>0</v>
      </c>
      <c r="H21" s="321">
        <f>IF(H19+H20=0,0,IF(H19&gt;H20,H19,1))</f>
        <v>0</v>
      </c>
      <c r="I21" s="322">
        <f>IF(I19+I20=0,0,IF(I19&gt;I20,I19,1))</f>
        <v>0</v>
      </c>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287"/>
      <c r="BK21" s="287"/>
      <c r="BL21" s="287"/>
    </row>
    <row r="22" spans="1:64" ht="16.5" hidden="1" customHeight="1">
      <c r="A22" s="335"/>
      <c r="B22" s="337"/>
      <c r="C22" s="321">
        <f t="shared" ref="C22:I22" si="4">IF(C21=0,0,C21)</f>
        <v>0</v>
      </c>
      <c r="D22" s="321">
        <f t="shared" si="4"/>
        <v>0</v>
      </c>
      <c r="E22" s="321">
        <f t="shared" si="4"/>
        <v>0</v>
      </c>
      <c r="F22" s="321">
        <f t="shared" si="4"/>
        <v>0</v>
      </c>
      <c r="G22" s="321">
        <f t="shared" si="4"/>
        <v>0</v>
      </c>
      <c r="H22" s="321">
        <f t="shared" si="4"/>
        <v>0</v>
      </c>
      <c r="I22" s="322">
        <f t="shared" si="4"/>
        <v>0</v>
      </c>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row>
    <row r="23" spans="1:64" ht="16.5" hidden="1">
      <c r="A23" s="319"/>
      <c r="B23" s="337"/>
      <c r="C23" s="338">
        <f>IF(AND(C21&gt;0,C21&lt;18),F223,IF(AND(C21&gt;17,D21&gt;17),D223,IF(AND(C21&gt;17,D21=17),C223,IF(AND(C21&gt;17,D21=16),C223,IF(AND(C21&gt;17,D21=15),C223,C223)))))</f>
        <v>409</v>
      </c>
      <c r="D23" s="338">
        <f>IF(AND(D21&gt;17,C21&lt;18),C223,IF(D21&gt;17,D223,IF(D21=17,F223,IF(D21=16,F223,IF(D21=15,F223,0)))))</f>
        <v>0</v>
      </c>
      <c r="E23" s="338">
        <f>IF(E21&lt;1,0,IF(E21&lt;6,H223,IF(E21&lt;14,G223,IF(E21&lt;18,F223,E223))))</f>
        <v>0</v>
      </c>
      <c r="F23" s="338">
        <f>IF(F21&lt;1,0,IF(F21&lt;6,H223,IF(F21&lt;14,G223,IF(F21&lt;18,F223,E223))))</f>
        <v>0</v>
      </c>
      <c r="G23" s="338">
        <f>IF(G21&lt;1,0,IF(G21&lt;6,H223,IF(G21&lt;14,G223,IF(G21&lt;18,F223,E223))))</f>
        <v>0</v>
      </c>
      <c r="H23" s="338">
        <f>IF(H21&lt;1,0,IF(H21&lt;6,H223,IF(H21&lt;14,G223,IF(H21&lt;18,F223,E223))))</f>
        <v>0</v>
      </c>
      <c r="I23" s="339">
        <f>IF(I21&lt;1,0,IF(I21&lt;6,H223,IF(I21&lt;14,G223,IF(I21&lt;18,F223,E223))))</f>
        <v>0</v>
      </c>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row>
    <row r="24" spans="1:64" ht="16.5" hidden="1">
      <c r="A24" s="319"/>
      <c r="B24" s="337"/>
      <c r="C24" s="338">
        <f>IF(C18&lt;18,F223,IF(AND(C18&gt;17,D18&gt;17,D18&lt;116),D223,IF(AND(C18&gt;17,D18=17),C223,IF(AND(C18&gt;17,D18=16),C223,IF(AND(C18&gt;17,D18=15),C223,C223)))))</f>
        <v>409</v>
      </c>
      <c r="D24" s="338">
        <f>IF(AND(D18&gt;17,C18&lt;18),C223,IF(D18&gt;17,D223,IF(D18=17,F223,IF(D18=16,F223,IF(D18=15,F223,0)))))</f>
        <v>368</v>
      </c>
      <c r="E24" s="338">
        <f>IF(E18&lt;1,0,IF(E18&lt;6,H223,IF(E18&lt;14,G223,IF(E18&lt;18,F223,E223))))</f>
        <v>327</v>
      </c>
      <c r="F24" s="338">
        <f>IF(F18&lt;1,0,IF(F18&lt;6,H223,IF(F18&lt;14,G223,IF(F18&lt;18,F223,E223))))</f>
        <v>327</v>
      </c>
      <c r="G24" s="338">
        <f>IF(G18&lt;1,0,IF(G18&lt;6,H223,IF(G18&lt;14,G223,IF(G18&lt;18,F223,E223))))</f>
        <v>327</v>
      </c>
      <c r="H24" s="338">
        <f>IF(H18&lt;1,0,IF(H18&lt;6,H223,IF(H18&lt;14,G223,IF(H18&lt;18,F223,E223))))</f>
        <v>327</v>
      </c>
      <c r="I24" s="339">
        <f>IF(I18&lt;1,0,IF(I18&lt;6,H223,IF(I18&lt;14,G223,IF(I18&lt;18,F223,E223))))</f>
        <v>327</v>
      </c>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row>
    <row r="25" spans="1:64" ht="16.5" hidden="1">
      <c r="A25" s="319"/>
      <c r="B25" s="337"/>
      <c r="C25" s="338">
        <f>IF(C24&lt;&gt;C23,C24/H2*C13,C23)</f>
        <v>409</v>
      </c>
      <c r="D25" s="338">
        <f>IF(D24&lt;&gt;D23,D24/H2*D13,D23)</f>
        <v>12.266666666666667</v>
      </c>
      <c r="E25" s="338">
        <f>IF(E24&gt;E23,E24/H2*E14,E23)</f>
        <v>10.9</v>
      </c>
      <c r="F25" s="338">
        <f>IF(F24&gt;F23,F24/H2*F14,F23)</f>
        <v>10.9</v>
      </c>
      <c r="G25" s="338">
        <f>IF(G24&gt;G23,G24/H2*G14,G23)</f>
        <v>10.9</v>
      </c>
      <c r="H25" s="338">
        <f>IF(H24&gt;H23,H24/H2*H14,H23)</f>
        <v>10.9</v>
      </c>
      <c r="I25" s="339">
        <f>IF(I24&gt;I23,I24/H2*I14,I23)</f>
        <v>10.9</v>
      </c>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row>
    <row r="26" spans="1:64" ht="16.5" hidden="1">
      <c r="A26" s="319"/>
      <c r="B26" s="337"/>
      <c r="C26" s="338">
        <f>IF(C24&lt;&gt;C23,C23/H2*C11,C23)</f>
        <v>409</v>
      </c>
      <c r="D26" s="338">
        <f>IF(D24&lt;&gt;D23,D23/H2*D11,D23)</f>
        <v>0</v>
      </c>
      <c r="E26" s="338">
        <f>IF(E24&gt;E23,E23/H2*E11,E23)</f>
        <v>0</v>
      </c>
      <c r="F26" s="338">
        <f>IF(F24&gt;F23,F23/H2*F11,F23)</f>
        <v>0</v>
      </c>
      <c r="G26" s="338">
        <f>IF(G24&gt;G23,G23/H2*G11,G23)</f>
        <v>0</v>
      </c>
      <c r="H26" s="338">
        <f>IF(H24&gt;H23,H23/H2*H11,H23)</f>
        <v>0</v>
      </c>
      <c r="I26" s="339">
        <f>IF(I24&gt;I23,I23/H2*I11,I23)</f>
        <v>0</v>
      </c>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row>
    <row r="27" spans="1:64" ht="16.5" hidden="1">
      <c r="A27" s="319"/>
      <c r="B27" s="337"/>
      <c r="C27" s="338">
        <f t="shared" ref="C27:I27" si="5">IF(C26=C25,C23,C25+C26)</f>
        <v>409</v>
      </c>
      <c r="D27" s="338">
        <f t="shared" si="5"/>
        <v>12.266666666666667</v>
      </c>
      <c r="E27" s="338">
        <f t="shared" si="5"/>
        <v>10.9</v>
      </c>
      <c r="F27" s="338">
        <f t="shared" si="5"/>
        <v>10.9</v>
      </c>
      <c r="G27" s="338">
        <f t="shared" si="5"/>
        <v>10.9</v>
      </c>
      <c r="H27" s="338">
        <f t="shared" si="5"/>
        <v>10.9</v>
      </c>
      <c r="I27" s="339">
        <f t="shared" si="5"/>
        <v>10.9</v>
      </c>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row>
    <row r="28" spans="1:64" ht="16.5" hidden="1">
      <c r="A28" s="319"/>
      <c r="B28" s="337"/>
      <c r="C28" s="338">
        <f>C27</f>
        <v>409</v>
      </c>
      <c r="D28" s="338">
        <f t="shared" ref="D28:I28" si="6">IF(D23=0,0,D27)</f>
        <v>0</v>
      </c>
      <c r="E28" s="338">
        <f t="shared" si="6"/>
        <v>0</v>
      </c>
      <c r="F28" s="338">
        <f t="shared" si="6"/>
        <v>0</v>
      </c>
      <c r="G28" s="338">
        <f t="shared" si="6"/>
        <v>0</v>
      </c>
      <c r="H28" s="338">
        <f t="shared" si="6"/>
        <v>0</v>
      </c>
      <c r="I28" s="339">
        <f t="shared" si="6"/>
        <v>0</v>
      </c>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row>
    <row r="29" spans="1:64" ht="16.5" hidden="1">
      <c r="A29" s="319"/>
      <c r="B29" s="337"/>
      <c r="C29" s="338">
        <f>IF(C15&lt;15,0,C28)</f>
        <v>409</v>
      </c>
      <c r="D29" s="338"/>
      <c r="E29" s="338">
        <f>IF(E18=25,E28/H2*E10,E28)</f>
        <v>0</v>
      </c>
      <c r="F29" s="338">
        <f>IF(F18=25,F28/H2*F10,F28)</f>
        <v>0</v>
      </c>
      <c r="G29" s="338">
        <f>IF(G18=25,G28/H2*G10,G28)</f>
        <v>0</v>
      </c>
      <c r="H29" s="338">
        <f>IF(H18=25,H28/H2*H10,H28)</f>
        <v>0</v>
      </c>
      <c r="I29" s="339">
        <f>IF(I18=25,I28/H2*I10,I28)</f>
        <v>0</v>
      </c>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row>
    <row r="30" spans="1:64" ht="16.5" hidden="1">
      <c r="A30" s="319"/>
      <c r="B30" s="337"/>
      <c r="C30" s="338"/>
      <c r="D30" s="338"/>
      <c r="E30" s="338">
        <f>IF(E16&gt;24,0,E29)</f>
        <v>0</v>
      </c>
      <c r="F30" s="338">
        <f>IF(F15&gt;24,0,F29)</f>
        <v>0</v>
      </c>
      <c r="G30" s="338">
        <f>IF(G15&gt;24,0,G29)</f>
        <v>0</v>
      </c>
      <c r="H30" s="338">
        <f>IF(H15&gt;24,0,H29)</f>
        <v>0</v>
      </c>
      <c r="I30" s="339">
        <f>IF(I15&gt;24,0,I29)</f>
        <v>0</v>
      </c>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row>
    <row r="31" spans="1:64" ht="16.5" hidden="1">
      <c r="A31" s="319"/>
      <c r="B31" s="337"/>
      <c r="C31" s="340"/>
      <c r="D31" s="340"/>
      <c r="E31" s="338">
        <f>ROUND(E30,0)</f>
        <v>0</v>
      </c>
      <c r="F31" s="338">
        <f>ROUND(F30,0)</f>
        <v>0</v>
      </c>
      <c r="G31" s="338">
        <f>ROUND(G30,0)</f>
        <v>0</v>
      </c>
      <c r="H31" s="338">
        <f>ROUND(H30,0)</f>
        <v>0</v>
      </c>
      <c r="I31" s="339">
        <f>ROUND(I30,0)</f>
        <v>0</v>
      </c>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row>
    <row r="32" spans="1:64" ht="16.5" hidden="1">
      <c r="A32" s="319"/>
      <c r="B32" s="337"/>
      <c r="C32" s="341"/>
      <c r="D32" s="341"/>
      <c r="E32" s="341">
        <f>IF(E8&gt;E2,H223*E14/30,E31)</f>
        <v>0</v>
      </c>
      <c r="F32" s="341">
        <f>IF(F8&gt;E2,H223*F14/30,F31)</f>
        <v>0</v>
      </c>
      <c r="G32" s="341">
        <f>IF(G8&gt;E2,H223*G14/30,G31)</f>
        <v>0</v>
      </c>
      <c r="H32" s="341">
        <f>IF(H8&gt;E2,H223*H14/30,H31)</f>
        <v>0</v>
      </c>
      <c r="I32" s="342">
        <f>IF(I8&gt;E2,H223*I14/30,I31)</f>
        <v>0</v>
      </c>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row>
    <row r="33" spans="1:64" ht="16.5" hidden="1">
      <c r="A33" s="319"/>
      <c r="B33" s="337"/>
      <c r="C33" s="338">
        <f>ROUND(C29,0)</f>
        <v>409</v>
      </c>
      <c r="D33" s="338">
        <f>ROUND(D28,0)</f>
        <v>0</v>
      </c>
      <c r="E33" s="338">
        <f>ROUND(E32,0)</f>
        <v>0</v>
      </c>
      <c r="F33" s="338">
        <f>ROUND(F32,0)</f>
        <v>0</v>
      </c>
      <c r="G33" s="338">
        <f>ROUND(G32,0)</f>
        <v>0</v>
      </c>
      <c r="H33" s="338">
        <f>ROUND(H32,0)</f>
        <v>0</v>
      </c>
      <c r="I33" s="339">
        <f>ROUND(I32,0)</f>
        <v>0</v>
      </c>
      <c r="J33" s="317"/>
      <c r="K33" s="317"/>
      <c r="L33" s="317"/>
      <c r="M33" s="317"/>
      <c r="N33" s="317"/>
      <c r="O33" s="317"/>
      <c r="P33" s="317"/>
      <c r="Q33" s="317"/>
      <c r="R33" s="317"/>
      <c r="S33" s="344">
        <f>COUNTIF(E33:I33,"&gt;0")</f>
        <v>0</v>
      </c>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row>
    <row r="34" spans="1:64" ht="16.5">
      <c r="A34" s="319" t="s">
        <v>24</v>
      </c>
      <c r="B34" s="337"/>
      <c r="C34" s="465" t="str">
        <f>Zusatzeingaben!C34</f>
        <v>ja</v>
      </c>
      <c r="D34" s="465" t="str">
        <f>Zusatzeingaben!D34</f>
        <v>ja</v>
      </c>
      <c r="E34" s="465" t="str">
        <f>Zusatzeingaben!E34</f>
        <v>ja</v>
      </c>
      <c r="F34" s="465" t="str">
        <f>Zusatzeingaben!F34</f>
        <v>ja</v>
      </c>
      <c r="G34" s="465" t="str">
        <f>Zusatzeingaben!G34</f>
        <v>ja</v>
      </c>
      <c r="H34" s="465" t="str">
        <f>Zusatzeingaben!H34</f>
        <v>ja</v>
      </c>
      <c r="I34" s="1676" t="str">
        <f>Zusatzeingaben!I34</f>
        <v>ja</v>
      </c>
      <c r="J34" s="317"/>
      <c r="K34" s="317"/>
      <c r="L34" s="317"/>
      <c r="M34" s="317"/>
      <c r="N34" s="317"/>
      <c r="O34" s="317"/>
      <c r="P34" s="317"/>
      <c r="Q34" s="317"/>
      <c r="R34" s="317"/>
      <c r="S34" s="344"/>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row>
    <row r="35" spans="1:64" ht="20.100000000000001" customHeight="1">
      <c r="A35" s="347" t="s">
        <v>2162</v>
      </c>
      <c r="B35" s="348"/>
      <c r="C35" s="1677" t="str">
        <f>Zusatzeingaben!C35</f>
        <v>ja</v>
      </c>
      <c r="D35" s="1677" t="str">
        <f>Zusatzeingaben!D35</f>
        <v>ja</v>
      </c>
      <c r="E35" s="1677" t="str">
        <f>Zusatzeingaben!E35</f>
        <v>ja</v>
      </c>
      <c r="F35" s="1677" t="str">
        <f>Zusatzeingaben!F35</f>
        <v>ja</v>
      </c>
      <c r="G35" s="1677" t="str">
        <f>Zusatzeingaben!G35</f>
        <v>ja</v>
      </c>
      <c r="H35" s="1677" t="str">
        <f>Zusatzeingaben!H35</f>
        <v>ja</v>
      </c>
      <c r="I35" s="1678" t="str">
        <f>Zusatzeingaben!I35</f>
        <v>ja</v>
      </c>
      <c r="J35" s="351"/>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row>
    <row r="36" spans="1:64" ht="29.25" customHeight="1">
      <c r="A36" s="352" t="s">
        <v>153</v>
      </c>
      <c r="B36" s="353" t="s">
        <v>141</v>
      </c>
      <c r="C36" s="1679"/>
      <c r="D36" s="1679"/>
      <c r="E36" s="1679"/>
      <c r="F36" s="1679"/>
      <c r="G36" s="1679"/>
      <c r="H36" s="1679"/>
      <c r="I36" s="1680"/>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row>
    <row r="37" spans="1:64" ht="20.100000000000001" customHeight="1">
      <c r="A37" s="358" t="s">
        <v>2340</v>
      </c>
      <c r="B37" s="359"/>
      <c r="C37" s="316" t="str">
        <f>Zusatzeingaben!C37</f>
        <v/>
      </c>
      <c r="D37" s="316" t="str">
        <f>Zusatzeingaben!D37</f>
        <v/>
      </c>
      <c r="E37" s="316" t="str">
        <f>Zusatzeingaben!E37</f>
        <v/>
      </c>
      <c r="F37" s="1681"/>
      <c r="G37" s="1681"/>
      <c r="H37" s="1681"/>
      <c r="I37" s="339"/>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row>
    <row r="38" spans="1:64" ht="20.100000000000001" hidden="1" customHeight="1">
      <c r="A38" s="358"/>
      <c r="B38" s="359"/>
      <c r="C38" s="361" t="e">
        <f>C37-280</f>
        <v>#VALUE!</v>
      </c>
      <c r="D38" s="361" t="e">
        <f>D37-280</f>
        <v>#VALUE!</v>
      </c>
      <c r="E38" s="361" t="e">
        <f>E37-280</f>
        <v>#VALUE!</v>
      </c>
      <c r="F38" s="1681"/>
      <c r="G38" s="1681"/>
      <c r="H38" s="1681"/>
      <c r="I38" s="339"/>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row>
    <row r="39" spans="1:64" ht="20.100000000000001" hidden="1" customHeight="1">
      <c r="A39" s="358"/>
      <c r="B39" s="359"/>
      <c r="C39" s="361" t="e">
        <f>C38+85</f>
        <v>#VALUE!</v>
      </c>
      <c r="D39" s="361" t="e">
        <f>D38+85</f>
        <v>#VALUE!</v>
      </c>
      <c r="E39" s="361" t="e">
        <f>E38+85</f>
        <v>#VALUE!</v>
      </c>
      <c r="F39" s="1681"/>
      <c r="G39" s="1681"/>
      <c r="H39" s="1681"/>
      <c r="I39" s="339"/>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row>
    <row r="40" spans="1:64" ht="20.100000000000001" hidden="1" customHeight="1">
      <c r="A40" s="358"/>
      <c r="B40" s="359"/>
      <c r="C40" s="321" t="e">
        <f>C39-E2</f>
        <v>#VALUE!</v>
      </c>
      <c r="D40" s="321" t="e">
        <f>D39-E2</f>
        <v>#VALUE!</v>
      </c>
      <c r="E40" s="321" t="e">
        <f>E39-E2</f>
        <v>#VALUE!</v>
      </c>
      <c r="F40" s="1681"/>
      <c r="G40" s="1681"/>
      <c r="H40" s="1681"/>
      <c r="I40" s="339"/>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row>
    <row r="41" spans="1:64" ht="20.100000000000001" hidden="1" customHeight="1">
      <c r="A41" s="358"/>
      <c r="B41" s="359"/>
      <c r="C41" s="321" t="e">
        <f>30-C40</f>
        <v>#VALUE!</v>
      </c>
      <c r="D41" s="321" t="e">
        <f>30-D40</f>
        <v>#VALUE!</v>
      </c>
      <c r="E41" s="321" t="e">
        <f>30-E40</f>
        <v>#VALUE!</v>
      </c>
      <c r="F41" s="1681"/>
      <c r="G41" s="1681"/>
      <c r="H41" s="1681"/>
      <c r="I41" s="339"/>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row>
    <row r="42" spans="1:64" ht="20.100000000000001" hidden="1" customHeight="1">
      <c r="A42" s="358"/>
      <c r="B42" s="359"/>
      <c r="C42" s="321" t="e">
        <f>IF(C41&gt;30,30,C41)</f>
        <v>#VALUE!</v>
      </c>
      <c r="D42" s="321" t="e">
        <f>IF(D41&gt;30,30,D41)</f>
        <v>#VALUE!</v>
      </c>
      <c r="E42" s="321" t="e">
        <f>IF(E41&gt;30,30,E41)</f>
        <v>#VALUE!</v>
      </c>
      <c r="F42" s="1681"/>
      <c r="G42" s="1681"/>
      <c r="H42" s="1681"/>
      <c r="I42" s="339"/>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row>
    <row r="43" spans="1:64" ht="20.100000000000001" hidden="1" customHeight="1">
      <c r="A43" s="358"/>
      <c r="B43" s="359"/>
      <c r="C43" s="321" t="e">
        <f>IF(C39&gt;E2,G2-C40,C42)</f>
        <v>#VALUE!</v>
      </c>
      <c r="D43" s="321" t="e">
        <f>IF(D39&gt;E2,G2-D40,D42)</f>
        <v>#VALUE!</v>
      </c>
      <c r="E43" s="321" t="e">
        <f>IF(E39&gt;E2,G2-E40,E42)</f>
        <v>#VALUE!</v>
      </c>
      <c r="F43" s="1681"/>
      <c r="G43" s="1681"/>
      <c r="H43" s="1681"/>
      <c r="I43" s="339"/>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row>
    <row r="44" spans="1:64" ht="18" hidden="1" customHeight="1">
      <c r="A44" s="358"/>
      <c r="B44" s="359"/>
      <c r="C44" s="369" t="e">
        <f>IF(C42&gt;0,C33*17/100,0)*C43/30</f>
        <v>#VALUE!</v>
      </c>
      <c r="D44" s="369" t="e">
        <f>IF(D42&gt;0,D33*17/100,0)*D43/30</f>
        <v>#VALUE!</v>
      </c>
      <c r="E44" s="369" t="e">
        <f>IF(E42&gt;0,E33*17/100,0)*E43/30</f>
        <v>#VALUE!</v>
      </c>
      <c r="F44" s="338"/>
      <c r="G44" s="338"/>
      <c r="H44" s="338"/>
      <c r="I44" s="339"/>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row>
    <row r="45" spans="1:64" ht="18" hidden="1" customHeight="1">
      <c r="A45" s="358"/>
      <c r="B45" s="359"/>
      <c r="C45" s="369" t="e">
        <f>IF(C37&lt;F2,C44*DAY(C37)/30,C44)</f>
        <v>#VALUE!</v>
      </c>
      <c r="D45" s="369" t="e">
        <f>IF(D37&lt;F2,D44*DAY(D37)/30,D44)</f>
        <v>#VALUE!</v>
      </c>
      <c r="E45" s="369" t="e">
        <f>IF(E37&lt;F2,E44*DAY(E37)/30,E44)</f>
        <v>#VALUE!</v>
      </c>
      <c r="F45" s="338"/>
      <c r="G45" s="338"/>
      <c r="H45" s="338"/>
      <c r="I45" s="339"/>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row>
    <row r="46" spans="1:64" ht="18" customHeight="1">
      <c r="A46" s="376" t="s">
        <v>155</v>
      </c>
      <c r="B46" s="1682">
        <f>IF(C46="ja",AE90,0)</f>
        <v>0</v>
      </c>
      <c r="C46" s="1683" t="str">
        <f>Zusatzeingaben!C46</f>
        <v>Nein</v>
      </c>
      <c r="D46" s="384"/>
      <c r="E46" s="385"/>
      <c r="F46" s="385"/>
      <c r="G46" s="385"/>
      <c r="H46" s="385"/>
      <c r="I46" s="386"/>
      <c r="T46" s="287"/>
      <c r="U46" s="287"/>
      <c r="V46" s="340"/>
      <c r="W46" s="287"/>
      <c r="X46" s="287"/>
      <c r="Y46" s="340"/>
      <c r="Z46" s="287"/>
      <c r="AA46" s="340"/>
      <c r="AB46" s="287"/>
      <c r="AC46" s="340"/>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row>
    <row r="47" spans="1:64" ht="18" hidden="1" customHeight="1">
      <c r="A47" s="376"/>
      <c r="B47" s="383"/>
      <c r="C47" s="378"/>
      <c r="D47" s="384"/>
      <c r="E47" s="385"/>
      <c r="F47" s="385"/>
      <c r="G47" s="385"/>
      <c r="H47" s="385"/>
      <c r="I47" s="386"/>
      <c r="J47" s="387"/>
      <c r="K47" s="388" t="s">
        <v>156</v>
      </c>
      <c r="L47" s="389"/>
      <c r="M47" s="390"/>
      <c r="N47" s="388" t="s">
        <v>157</v>
      </c>
      <c r="O47" s="389"/>
      <c r="P47" s="390"/>
      <c r="Q47" s="388" t="s">
        <v>158</v>
      </c>
      <c r="R47" s="389"/>
      <c r="S47" s="390"/>
      <c r="T47" s="388" t="s">
        <v>159</v>
      </c>
      <c r="U47" s="388"/>
      <c r="V47" s="1974" t="s">
        <v>160</v>
      </c>
      <c r="W47" s="1974"/>
      <c r="X47" s="391"/>
      <c r="Y47" s="390"/>
      <c r="Z47" s="389" t="s">
        <v>161</v>
      </c>
      <c r="AA47" s="390"/>
      <c r="AB47" s="389" t="s">
        <v>162</v>
      </c>
      <c r="AC47" s="390"/>
      <c r="AD47" s="389" t="s">
        <v>163</v>
      </c>
      <c r="AE47" s="392">
        <f>IF(OR(K48&gt;0,N48&gt;0,Q48&gt;0,T48&gt;0,W48&gt;0,Z48&gt;0,AB48&gt;0,AD48&gt;0),1,0)</f>
        <v>0</v>
      </c>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row>
    <row r="48" spans="1:64" ht="18" hidden="1" customHeight="1">
      <c r="A48" s="358"/>
      <c r="B48" s="359"/>
      <c r="C48" s="369"/>
      <c r="D48" s="384"/>
      <c r="E48" s="324">
        <f>IF(E$8&gt;$E$2,"",DATEDIF(E$8,$E$2,"y"))</f>
        <v>122</v>
      </c>
      <c r="F48" s="324">
        <f>IF(F$8&gt;$E$2,"",DATEDIF(F$8,$E$2,"y"))</f>
        <v>122</v>
      </c>
      <c r="G48" s="324">
        <f>IF(G$8&gt;$E$2,"",DATEDIF(G$8,$E$2,"y"))</f>
        <v>122</v>
      </c>
      <c r="H48" s="324">
        <f>IF(H$8&gt;$E$2,"",DATEDIF(H$8,$E$2,"y"))</f>
        <v>122</v>
      </c>
      <c r="I48" s="325">
        <f>IF(I$8&gt;$E$2,"",DATEDIF(I$8,$E$2,"y"))</f>
        <v>122</v>
      </c>
      <c r="J48" s="393">
        <f t="shared" ref="J48:J75" si="7">COUNTIF(E48:I48,"&lt;7")</f>
        <v>0</v>
      </c>
      <c r="K48" s="394">
        <f t="shared" ref="K48:K78" si="8">IF(J48=1,C$23*0.36,0)</f>
        <v>0</v>
      </c>
      <c r="L48" s="395">
        <f t="shared" ref="L48:L78" si="9">IF(OR(Q48&gt;0,Z48&gt;0,AB48&gt;0,AD48&gt;0),0,K48)</f>
        <v>0</v>
      </c>
      <c r="M48" s="396">
        <f t="shared" ref="M48:M75" si="10">SUMPRODUCT((E48:I48&gt;6)*(E48:I48&lt;18))</f>
        <v>0</v>
      </c>
      <c r="N48" s="394">
        <f t="shared" ref="N48:N78" si="11">IF(AND(K48=0,M48=1),C$23*0.12,0)</f>
        <v>0</v>
      </c>
      <c r="O48" s="395">
        <f t="shared" ref="O48:O78" si="12">IF(OR(Z48&gt;0,AB48&gt;0),0,N48)</f>
        <v>0</v>
      </c>
      <c r="P48" s="397">
        <f t="shared" ref="P48:P75" si="13">COUNTIF(E48:I48,"&lt;16")</f>
        <v>0</v>
      </c>
      <c r="Q48" s="394">
        <f t="shared" ref="Q48:Q78" si="14">IF(P48=2,C$23*0.36,0)</f>
        <v>0</v>
      </c>
      <c r="R48" s="395">
        <f t="shared" ref="R48:R78" si="15">IF(OR(Z48&gt;0,AB48&gt;0,AD48&gt;0),0,Q48)</f>
        <v>0</v>
      </c>
      <c r="S48" s="398">
        <f t="shared" ref="S48:S75" si="16">SUMPRODUCT((E48:I48&gt;15)*(E48:I48&lt;18))</f>
        <v>0</v>
      </c>
      <c r="T48" s="399">
        <f t="shared" ref="T48:T78" si="17">IF(S48=2,C$23*0.24,0)</f>
        <v>0</v>
      </c>
      <c r="U48" s="394">
        <f t="shared" ref="U48:U78" si="18">IF(OR(Z48&gt;0,AB48&gt;0,AD48&gt;0),0,T48)</f>
        <v>0</v>
      </c>
      <c r="V48" s="400">
        <f t="shared" ref="V48:V75" si="19">SUMPRODUCT((E48:I48&gt;6)*(E48:I48&lt;16))+SUMPRODUCT((E48:I48&gt;15)*(E48:I48&lt;18))</f>
        <v>0</v>
      </c>
      <c r="W48" s="394">
        <f t="shared" ref="W48:W78" si="20">IF(AND(Q48=0,V48=2),C$23*0.24,0)</f>
        <v>0</v>
      </c>
      <c r="X48" s="395">
        <f t="shared" ref="X48:X78" si="21">IF(OR(T48&gt;0,Z48&gt;0,AB48&gt;0,AD48&gt;0),0,W48)</f>
        <v>0</v>
      </c>
      <c r="Y48" s="401">
        <f t="shared" ref="Y48:Y75" si="22">COUNTIF(E48:I48,"&lt;18")</f>
        <v>0</v>
      </c>
      <c r="Z48" s="365">
        <f t="shared" ref="Z48:Z78" si="23">IF(Y48=3,C$23*0.36,0)</f>
        <v>0</v>
      </c>
      <c r="AA48" s="401">
        <f t="shared" ref="AA48:AA75" si="24">COUNTIF(E48:I48,"&lt;18")</f>
        <v>0</v>
      </c>
      <c r="AB48" s="365">
        <f t="shared" ref="AB48:AB78" si="25">IF(AA48=4,C$23*0.48,0)</f>
        <v>0</v>
      </c>
      <c r="AC48" s="401">
        <f t="shared" ref="AC48:AC75" si="26">COUNTIF(E48:I48,"&lt;18")</f>
        <v>0</v>
      </c>
      <c r="AD48" s="365">
        <f t="shared" ref="AD48:AD78" si="27">IF(AC48=5,C$23*0.6,0)</f>
        <v>0</v>
      </c>
      <c r="AE48" s="402"/>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row>
    <row r="49" spans="1:64" ht="18" hidden="1" customHeight="1">
      <c r="A49" s="358"/>
      <c r="B49" s="359"/>
      <c r="C49" s="369"/>
      <c r="D49" s="384"/>
      <c r="E49" s="324">
        <f>IF(E8&gt;$E$2+1,"",DATEDIF(E8,$E$2+1,"y"))</f>
        <v>122</v>
      </c>
      <c r="F49" s="324">
        <f>IF(F8&gt;$E$2+1,"",DATEDIF(F8,$E$2+1,"y"))</f>
        <v>122</v>
      </c>
      <c r="G49" s="324">
        <f>IF(G8&gt;$E$2+1,"",DATEDIF(G8,$E$2+1,"y"))</f>
        <v>122</v>
      </c>
      <c r="H49" s="324">
        <f>IF(H8&gt;$E$2+1,"",DATEDIF(H8,$E$2+1,"y"))</f>
        <v>122</v>
      </c>
      <c r="I49" s="325">
        <f>IF(I8&gt;$E$2+1,"",DATEDIF(I8,$E$2+1,"y"))</f>
        <v>122</v>
      </c>
      <c r="J49" s="393">
        <f t="shared" si="7"/>
        <v>0</v>
      </c>
      <c r="K49" s="394">
        <f t="shared" si="8"/>
        <v>0</v>
      </c>
      <c r="L49" s="395">
        <f t="shared" si="9"/>
        <v>0</v>
      </c>
      <c r="M49" s="396">
        <f t="shared" si="10"/>
        <v>0</v>
      </c>
      <c r="N49" s="394">
        <f t="shared" si="11"/>
        <v>0</v>
      </c>
      <c r="O49" s="395">
        <f t="shared" si="12"/>
        <v>0</v>
      </c>
      <c r="P49" s="397">
        <f t="shared" si="13"/>
        <v>0</v>
      </c>
      <c r="Q49" s="394">
        <f t="shared" si="14"/>
        <v>0</v>
      </c>
      <c r="R49" s="395">
        <f t="shared" si="15"/>
        <v>0</v>
      </c>
      <c r="S49" s="398">
        <f t="shared" si="16"/>
        <v>0</v>
      </c>
      <c r="T49" s="370">
        <f t="shared" si="17"/>
        <v>0</v>
      </c>
      <c r="U49" s="394">
        <f t="shared" si="18"/>
        <v>0</v>
      </c>
      <c r="V49" s="400">
        <f t="shared" si="19"/>
        <v>0</v>
      </c>
      <c r="W49" s="394">
        <f t="shared" si="20"/>
        <v>0</v>
      </c>
      <c r="X49" s="395">
        <f t="shared" si="21"/>
        <v>0</v>
      </c>
      <c r="Y49" s="102">
        <f t="shared" si="22"/>
        <v>0</v>
      </c>
      <c r="Z49" s="339">
        <f t="shared" si="23"/>
        <v>0</v>
      </c>
      <c r="AA49" s="102">
        <f t="shared" si="24"/>
        <v>0</v>
      </c>
      <c r="AB49" s="339">
        <f t="shared" si="25"/>
        <v>0</v>
      </c>
      <c r="AC49" s="102">
        <f t="shared" si="26"/>
        <v>0</v>
      </c>
      <c r="AD49" s="339">
        <f t="shared" si="27"/>
        <v>0</v>
      </c>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row>
    <row r="50" spans="1:64" ht="18" hidden="1" customHeight="1">
      <c r="A50" s="358"/>
      <c r="B50" s="359"/>
      <c r="C50" s="369"/>
      <c r="D50" s="384"/>
      <c r="E50" s="324">
        <f>IF(E8&gt;$E$2+2,"",DATEDIF(E8,$E$2+2,"y"))</f>
        <v>122</v>
      </c>
      <c r="F50" s="324">
        <f>IF(F8&gt;$E$2+2,"",DATEDIF(F8,$E$2+2,"y"))</f>
        <v>122</v>
      </c>
      <c r="G50" s="324">
        <f>IF(G8&gt;$E$2+2,"",DATEDIF(G8,$E$2+2,"y"))</f>
        <v>122</v>
      </c>
      <c r="H50" s="324">
        <f>IF(H8&gt;$E$2+2,"",DATEDIF(H8,$E$2+2,"y"))</f>
        <v>122</v>
      </c>
      <c r="I50" s="325">
        <f>IF(I8&gt;$E$2+2,"",DATEDIF(I8,$E$2+2,"y"))</f>
        <v>122</v>
      </c>
      <c r="J50" s="393">
        <f t="shared" si="7"/>
        <v>0</v>
      </c>
      <c r="K50" s="394">
        <f t="shared" si="8"/>
        <v>0</v>
      </c>
      <c r="L50" s="395">
        <f t="shared" si="9"/>
        <v>0</v>
      </c>
      <c r="M50" s="396">
        <f t="shared" si="10"/>
        <v>0</v>
      </c>
      <c r="N50" s="394">
        <f t="shared" si="11"/>
        <v>0</v>
      </c>
      <c r="O50" s="395">
        <f t="shared" si="12"/>
        <v>0</v>
      </c>
      <c r="P50" s="397">
        <f t="shared" si="13"/>
        <v>0</v>
      </c>
      <c r="Q50" s="394">
        <f t="shared" si="14"/>
        <v>0</v>
      </c>
      <c r="R50" s="395">
        <f t="shared" si="15"/>
        <v>0</v>
      </c>
      <c r="S50" s="398">
        <f t="shared" si="16"/>
        <v>0</v>
      </c>
      <c r="T50" s="370">
        <f t="shared" si="17"/>
        <v>0</v>
      </c>
      <c r="U50" s="394">
        <f t="shared" si="18"/>
        <v>0</v>
      </c>
      <c r="V50" s="400">
        <f t="shared" si="19"/>
        <v>0</v>
      </c>
      <c r="W50" s="394">
        <f t="shared" si="20"/>
        <v>0</v>
      </c>
      <c r="X50" s="395">
        <f t="shared" si="21"/>
        <v>0</v>
      </c>
      <c r="Y50" s="102">
        <f t="shared" si="22"/>
        <v>0</v>
      </c>
      <c r="Z50" s="339">
        <f t="shared" si="23"/>
        <v>0</v>
      </c>
      <c r="AA50" s="102">
        <f t="shared" si="24"/>
        <v>0</v>
      </c>
      <c r="AB50" s="339">
        <f t="shared" si="25"/>
        <v>0</v>
      </c>
      <c r="AC50" s="102">
        <f t="shared" si="26"/>
        <v>0</v>
      </c>
      <c r="AD50" s="339">
        <f t="shared" si="27"/>
        <v>0</v>
      </c>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row>
    <row r="51" spans="1:64" ht="18" hidden="1" customHeight="1">
      <c r="A51" s="358"/>
      <c r="B51" s="359"/>
      <c r="C51" s="369"/>
      <c r="D51" s="384"/>
      <c r="E51" s="324">
        <f>IF(E8&gt;$E$2+3,"",DATEDIF(E8,$E$2+3,"y"))</f>
        <v>122</v>
      </c>
      <c r="F51" s="324">
        <f>IF(F8&gt;$E$2+3,"",DATEDIF(F8,$E$2+3,"y"))</f>
        <v>122</v>
      </c>
      <c r="G51" s="324">
        <f>IF(G8&gt;$E$2+3,"",DATEDIF(G8,$E$2+3,"y"))</f>
        <v>122</v>
      </c>
      <c r="H51" s="324">
        <f>IF(H8&gt;$E$2+3,"",DATEDIF(H8,$E$2+3,"y"))</f>
        <v>122</v>
      </c>
      <c r="I51" s="325">
        <f>IF(I8&gt;$E$2+3,"",DATEDIF(I8,$E$2+3,"y"))</f>
        <v>122</v>
      </c>
      <c r="J51" s="393">
        <f t="shared" si="7"/>
        <v>0</v>
      </c>
      <c r="K51" s="394">
        <f t="shared" si="8"/>
        <v>0</v>
      </c>
      <c r="L51" s="395">
        <f t="shared" si="9"/>
        <v>0</v>
      </c>
      <c r="M51" s="396">
        <f t="shared" si="10"/>
        <v>0</v>
      </c>
      <c r="N51" s="394">
        <f t="shared" si="11"/>
        <v>0</v>
      </c>
      <c r="O51" s="395">
        <f t="shared" si="12"/>
        <v>0</v>
      </c>
      <c r="P51" s="397">
        <f t="shared" si="13"/>
        <v>0</v>
      </c>
      <c r="Q51" s="394">
        <f t="shared" si="14"/>
        <v>0</v>
      </c>
      <c r="R51" s="395">
        <f t="shared" si="15"/>
        <v>0</v>
      </c>
      <c r="S51" s="398">
        <f t="shared" si="16"/>
        <v>0</v>
      </c>
      <c r="T51" s="370">
        <f t="shared" si="17"/>
        <v>0</v>
      </c>
      <c r="U51" s="394">
        <f t="shared" si="18"/>
        <v>0</v>
      </c>
      <c r="V51" s="400">
        <f t="shared" si="19"/>
        <v>0</v>
      </c>
      <c r="W51" s="394">
        <f t="shared" si="20"/>
        <v>0</v>
      </c>
      <c r="X51" s="395">
        <f t="shared" si="21"/>
        <v>0</v>
      </c>
      <c r="Y51" s="102">
        <f t="shared" si="22"/>
        <v>0</v>
      </c>
      <c r="Z51" s="339">
        <f t="shared" si="23"/>
        <v>0</v>
      </c>
      <c r="AA51" s="102">
        <f t="shared" si="24"/>
        <v>0</v>
      </c>
      <c r="AB51" s="339">
        <f t="shared" si="25"/>
        <v>0</v>
      </c>
      <c r="AC51" s="102">
        <f t="shared" si="26"/>
        <v>0</v>
      </c>
      <c r="AD51" s="339">
        <f t="shared" si="27"/>
        <v>0</v>
      </c>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row>
    <row r="52" spans="1:64" ht="18" hidden="1" customHeight="1">
      <c r="A52" s="358"/>
      <c r="B52" s="359"/>
      <c r="C52" s="369"/>
      <c r="D52" s="384"/>
      <c r="E52" s="324">
        <f>IF(E8&gt;$E$2+4,"",DATEDIF(E8,$E$2+4,"y"))</f>
        <v>122</v>
      </c>
      <c r="F52" s="324">
        <f>IF(F8&gt;$E$2+4,"",DATEDIF(F8,$E$2+4,"y"))</f>
        <v>122</v>
      </c>
      <c r="G52" s="324">
        <f>IF(G8&gt;$E$2+4,"",DATEDIF(G8,$E$2+4,"y"))</f>
        <v>122</v>
      </c>
      <c r="H52" s="324">
        <f>IF(H8&gt;$E$2+4,"",DATEDIF(H8,$E$2+4,"y"))</f>
        <v>122</v>
      </c>
      <c r="I52" s="325">
        <f>IF(I8&gt;$E$2+4,"",DATEDIF(I8,$E$2+4,"y"))</f>
        <v>122</v>
      </c>
      <c r="J52" s="393">
        <f t="shared" si="7"/>
        <v>0</v>
      </c>
      <c r="K52" s="394">
        <f t="shared" si="8"/>
        <v>0</v>
      </c>
      <c r="L52" s="395">
        <f t="shared" si="9"/>
        <v>0</v>
      </c>
      <c r="M52" s="396">
        <f t="shared" si="10"/>
        <v>0</v>
      </c>
      <c r="N52" s="394">
        <f t="shared" si="11"/>
        <v>0</v>
      </c>
      <c r="O52" s="395">
        <f t="shared" si="12"/>
        <v>0</v>
      </c>
      <c r="P52" s="397">
        <f t="shared" si="13"/>
        <v>0</v>
      </c>
      <c r="Q52" s="394">
        <f t="shared" si="14"/>
        <v>0</v>
      </c>
      <c r="R52" s="395">
        <f t="shared" si="15"/>
        <v>0</v>
      </c>
      <c r="S52" s="398">
        <f t="shared" si="16"/>
        <v>0</v>
      </c>
      <c r="T52" s="370">
        <f t="shared" si="17"/>
        <v>0</v>
      </c>
      <c r="U52" s="394">
        <f t="shared" si="18"/>
        <v>0</v>
      </c>
      <c r="V52" s="400">
        <f t="shared" si="19"/>
        <v>0</v>
      </c>
      <c r="W52" s="394">
        <f t="shared" si="20"/>
        <v>0</v>
      </c>
      <c r="X52" s="395">
        <f t="shared" si="21"/>
        <v>0</v>
      </c>
      <c r="Y52" s="102">
        <f t="shared" si="22"/>
        <v>0</v>
      </c>
      <c r="Z52" s="339">
        <f t="shared" si="23"/>
        <v>0</v>
      </c>
      <c r="AA52" s="102">
        <f t="shared" si="24"/>
        <v>0</v>
      </c>
      <c r="AB52" s="339">
        <f t="shared" si="25"/>
        <v>0</v>
      </c>
      <c r="AC52" s="102">
        <f t="shared" si="26"/>
        <v>0</v>
      </c>
      <c r="AD52" s="339">
        <f t="shared" si="27"/>
        <v>0</v>
      </c>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row>
    <row r="53" spans="1:64" ht="18" hidden="1" customHeight="1">
      <c r="A53" s="358"/>
      <c r="B53" s="359"/>
      <c r="C53" s="369"/>
      <c r="D53" s="384"/>
      <c r="E53" s="324">
        <f>IF(E8&gt;$E$2+5,"",DATEDIF(E8,$E$2+5,"y"))</f>
        <v>122</v>
      </c>
      <c r="F53" s="324">
        <f>IF(F8&gt;$E$2+5,"",DATEDIF(F8,$E$2+5,"y"))</f>
        <v>122</v>
      </c>
      <c r="G53" s="324">
        <f>IF(G8&gt;$E$2+5,"",DATEDIF(G8,$E$2+5,"y"))</f>
        <v>122</v>
      </c>
      <c r="H53" s="324">
        <f>IF(H8&gt;$E$2+5,"",DATEDIF(H8,$E$2+5,"y"))</f>
        <v>122</v>
      </c>
      <c r="I53" s="325">
        <f>IF(I8&gt;$E$2+5,"",DATEDIF(I8,$E$2+5,"y"))</f>
        <v>122</v>
      </c>
      <c r="J53" s="393">
        <f t="shared" si="7"/>
        <v>0</v>
      </c>
      <c r="K53" s="394">
        <f t="shared" si="8"/>
        <v>0</v>
      </c>
      <c r="L53" s="395">
        <f t="shared" si="9"/>
        <v>0</v>
      </c>
      <c r="M53" s="396">
        <f t="shared" si="10"/>
        <v>0</v>
      </c>
      <c r="N53" s="394">
        <f t="shared" si="11"/>
        <v>0</v>
      </c>
      <c r="O53" s="395">
        <f t="shared" si="12"/>
        <v>0</v>
      </c>
      <c r="P53" s="397">
        <f t="shared" si="13"/>
        <v>0</v>
      </c>
      <c r="Q53" s="394">
        <f t="shared" si="14"/>
        <v>0</v>
      </c>
      <c r="R53" s="395">
        <f t="shared" si="15"/>
        <v>0</v>
      </c>
      <c r="S53" s="398">
        <f t="shared" si="16"/>
        <v>0</v>
      </c>
      <c r="T53" s="370">
        <f t="shared" si="17"/>
        <v>0</v>
      </c>
      <c r="U53" s="394">
        <f t="shared" si="18"/>
        <v>0</v>
      </c>
      <c r="V53" s="400">
        <f t="shared" si="19"/>
        <v>0</v>
      </c>
      <c r="W53" s="394">
        <f t="shared" si="20"/>
        <v>0</v>
      </c>
      <c r="X53" s="395">
        <f t="shared" si="21"/>
        <v>0</v>
      </c>
      <c r="Y53" s="102">
        <f t="shared" si="22"/>
        <v>0</v>
      </c>
      <c r="Z53" s="339">
        <f t="shared" si="23"/>
        <v>0</v>
      </c>
      <c r="AA53" s="102">
        <f t="shared" si="24"/>
        <v>0</v>
      </c>
      <c r="AB53" s="339">
        <f t="shared" si="25"/>
        <v>0</v>
      </c>
      <c r="AC53" s="102">
        <f t="shared" si="26"/>
        <v>0</v>
      </c>
      <c r="AD53" s="339">
        <f t="shared" si="27"/>
        <v>0</v>
      </c>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row>
    <row r="54" spans="1:64" ht="18" hidden="1" customHeight="1">
      <c r="A54" s="358"/>
      <c r="B54" s="359"/>
      <c r="C54" s="369"/>
      <c r="D54" s="384"/>
      <c r="E54" s="324">
        <f>IF(E8&gt;$E$2+6,"",DATEDIF(E8,$E$2+6,"y"))</f>
        <v>122</v>
      </c>
      <c r="F54" s="324">
        <f>IF(F8&gt;$E$2+6,"",DATEDIF(F8,$E$2+6,"y"))</f>
        <v>122</v>
      </c>
      <c r="G54" s="324">
        <f>IF(G8&gt;$E$2+6,"",DATEDIF(G8,$E$2+6,"y"))</f>
        <v>122</v>
      </c>
      <c r="H54" s="324">
        <f>IF(H8&gt;$E$2+6,"",DATEDIF(H8,$E$2+6,"y"))</f>
        <v>122</v>
      </c>
      <c r="I54" s="325">
        <f>IF(I8&gt;$E$2+6,"",DATEDIF(I8,$E$2+6,"y"))</f>
        <v>122</v>
      </c>
      <c r="J54" s="393">
        <f t="shared" si="7"/>
        <v>0</v>
      </c>
      <c r="K54" s="394">
        <f t="shared" si="8"/>
        <v>0</v>
      </c>
      <c r="L54" s="395">
        <f t="shared" si="9"/>
        <v>0</v>
      </c>
      <c r="M54" s="396">
        <f t="shared" si="10"/>
        <v>0</v>
      </c>
      <c r="N54" s="394">
        <f t="shared" si="11"/>
        <v>0</v>
      </c>
      <c r="O54" s="395">
        <f t="shared" si="12"/>
        <v>0</v>
      </c>
      <c r="P54" s="397">
        <f t="shared" si="13"/>
        <v>0</v>
      </c>
      <c r="Q54" s="394">
        <f t="shared" si="14"/>
        <v>0</v>
      </c>
      <c r="R54" s="395">
        <f t="shared" si="15"/>
        <v>0</v>
      </c>
      <c r="S54" s="398">
        <f t="shared" si="16"/>
        <v>0</v>
      </c>
      <c r="T54" s="370">
        <f t="shared" si="17"/>
        <v>0</v>
      </c>
      <c r="U54" s="394">
        <f t="shared" si="18"/>
        <v>0</v>
      </c>
      <c r="V54" s="400">
        <f t="shared" si="19"/>
        <v>0</v>
      </c>
      <c r="W54" s="394">
        <f t="shared" si="20"/>
        <v>0</v>
      </c>
      <c r="X54" s="395">
        <f t="shared" si="21"/>
        <v>0</v>
      </c>
      <c r="Y54" s="102">
        <f t="shared" si="22"/>
        <v>0</v>
      </c>
      <c r="Z54" s="339">
        <f t="shared" si="23"/>
        <v>0</v>
      </c>
      <c r="AA54" s="102">
        <f t="shared" si="24"/>
        <v>0</v>
      </c>
      <c r="AB54" s="339">
        <f t="shared" si="25"/>
        <v>0</v>
      </c>
      <c r="AC54" s="102">
        <f t="shared" si="26"/>
        <v>0</v>
      </c>
      <c r="AD54" s="339">
        <f t="shared" si="27"/>
        <v>0</v>
      </c>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row>
    <row r="55" spans="1:64" ht="18" hidden="1" customHeight="1">
      <c r="A55" s="358"/>
      <c r="B55" s="359"/>
      <c r="C55" s="369"/>
      <c r="D55" s="384"/>
      <c r="E55" s="324">
        <f>IF(E8&gt;$E$2+7,"",DATEDIF(E8,$E$2+7,"y"))</f>
        <v>122</v>
      </c>
      <c r="F55" s="324">
        <f>IF(F8&gt;$E$2+7,"",DATEDIF(F8,$E$2+7,"y"))</f>
        <v>122</v>
      </c>
      <c r="G55" s="324">
        <f>IF(G8&gt;$E$2+7,"",DATEDIF(G8,$E$2+7,"y"))</f>
        <v>122</v>
      </c>
      <c r="H55" s="324">
        <f>IF(H8&gt;$E$2+7,"",DATEDIF(H8,$E$2+7,"y"))</f>
        <v>122</v>
      </c>
      <c r="I55" s="325">
        <f>IF(I8&gt;$E$2+7,"",DATEDIF(I8,$E$2+7,"y"))</f>
        <v>122</v>
      </c>
      <c r="J55" s="393">
        <f t="shared" si="7"/>
        <v>0</v>
      </c>
      <c r="K55" s="394">
        <f t="shared" si="8"/>
        <v>0</v>
      </c>
      <c r="L55" s="395">
        <f t="shared" si="9"/>
        <v>0</v>
      </c>
      <c r="M55" s="396">
        <f t="shared" si="10"/>
        <v>0</v>
      </c>
      <c r="N55" s="394">
        <f t="shared" si="11"/>
        <v>0</v>
      </c>
      <c r="O55" s="395">
        <f t="shared" si="12"/>
        <v>0</v>
      </c>
      <c r="P55" s="397">
        <f t="shared" si="13"/>
        <v>0</v>
      </c>
      <c r="Q55" s="394">
        <f t="shared" si="14"/>
        <v>0</v>
      </c>
      <c r="R55" s="395">
        <f t="shared" si="15"/>
        <v>0</v>
      </c>
      <c r="S55" s="398">
        <f t="shared" si="16"/>
        <v>0</v>
      </c>
      <c r="T55" s="370">
        <f t="shared" si="17"/>
        <v>0</v>
      </c>
      <c r="U55" s="394">
        <f t="shared" si="18"/>
        <v>0</v>
      </c>
      <c r="V55" s="400">
        <f t="shared" si="19"/>
        <v>0</v>
      </c>
      <c r="W55" s="394">
        <f t="shared" si="20"/>
        <v>0</v>
      </c>
      <c r="X55" s="395">
        <f t="shared" si="21"/>
        <v>0</v>
      </c>
      <c r="Y55" s="102">
        <f t="shared" si="22"/>
        <v>0</v>
      </c>
      <c r="Z55" s="339">
        <f t="shared" si="23"/>
        <v>0</v>
      </c>
      <c r="AA55" s="102">
        <f t="shared" si="24"/>
        <v>0</v>
      </c>
      <c r="AB55" s="339">
        <f t="shared" si="25"/>
        <v>0</v>
      </c>
      <c r="AC55" s="102">
        <f t="shared" si="26"/>
        <v>0</v>
      </c>
      <c r="AD55" s="339">
        <f t="shared" si="27"/>
        <v>0</v>
      </c>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row>
    <row r="56" spans="1:64" ht="18" hidden="1" customHeight="1">
      <c r="A56" s="358"/>
      <c r="B56" s="359"/>
      <c r="C56" s="369"/>
      <c r="D56" s="384"/>
      <c r="E56" s="324">
        <f>IF(E8&gt;$E$2+8,"",DATEDIF(E8,$E$2+8,"y"))</f>
        <v>122</v>
      </c>
      <c r="F56" s="324">
        <f>IF(F8&gt;$E$2+8,"",DATEDIF(F8,$E$2+8,"y"))</f>
        <v>122</v>
      </c>
      <c r="G56" s="324">
        <f>IF(G8&gt;$E$2+8,"",DATEDIF(G8,$E$2+8,"y"))</f>
        <v>122</v>
      </c>
      <c r="H56" s="324">
        <f>IF(H8&gt;$E$2+8,"",DATEDIF(H8,$E$2+8,"y"))</f>
        <v>122</v>
      </c>
      <c r="I56" s="325">
        <f>IF(I8&gt;$E$2+8,"",DATEDIF(I8,$E$2+8,"y"))</f>
        <v>122</v>
      </c>
      <c r="J56" s="393">
        <f t="shared" si="7"/>
        <v>0</v>
      </c>
      <c r="K56" s="394">
        <f t="shared" si="8"/>
        <v>0</v>
      </c>
      <c r="L56" s="395">
        <f t="shared" si="9"/>
        <v>0</v>
      </c>
      <c r="M56" s="396">
        <f t="shared" si="10"/>
        <v>0</v>
      </c>
      <c r="N56" s="394">
        <f t="shared" si="11"/>
        <v>0</v>
      </c>
      <c r="O56" s="395">
        <f t="shared" si="12"/>
        <v>0</v>
      </c>
      <c r="P56" s="397">
        <f t="shared" si="13"/>
        <v>0</v>
      </c>
      <c r="Q56" s="394">
        <f t="shared" si="14"/>
        <v>0</v>
      </c>
      <c r="R56" s="395">
        <f t="shared" si="15"/>
        <v>0</v>
      </c>
      <c r="S56" s="398">
        <f t="shared" si="16"/>
        <v>0</v>
      </c>
      <c r="T56" s="370">
        <f t="shared" si="17"/>
        <v>0</v>
      </c>
      <c r="U56" s="394">
        <f t="shared" si="18"/>
        <v>0</v>
      </c>
      <c r="V56" s="400">
        <f t="shared" si="19"/>
        <v>0</v>
      </c>
      <c r="W56" s="394">
        <f t="shared" si="20"/>
        <v>0</v>
      </c>
      <c r="X56" s="395">
        <f t="shared" si="21"/>
        <v>0</v>
      </c>
      <c r="Y56" s="102">
        <f t="shared" si="22"/>
        <v>0</v>
      </c>
      <c r="Z56" s="339">
        <f t="shared" si="23"/>
        <v>0</v>
      </c>
      <c r="AA56" s="102">
        <f t="shared" si="24"/>
        <v>0</v>
      </c>
      <c r="AB56" s="339">
        <f t="shared" si="25"/>
        <v>0</v>
      </c>
      <c r="AC56" s="102">
        <f t="shared" si="26"/>
        <v>0</v>
      </c>
      <c r="AD56" s="339">
        <f t="shared" si="27"/>
        <v>0</v>
      </c>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row>
    <row r="57" spans="1:64" ht="18" hidden="1" customHeight="1">
      <c r="A57" s="358"/>
      <c r="B57" s="359"/>
      <c r="C57" s="369"/>
      <c r="D57" s="384"/>
      <c r="E57" s="324">
        <f>IF(E8&gt;$E$2+9,"",DATEDIF(E8,$E$2+9,"y"))</f>
        <v>122</v>
      </c>
      <c r="F57" s="324">
        <f>IF(F8&gt;$E$2+9,"",DATEDIF(F8,$E$2+9,"y"))</f>
        <v>122</v>
      </c>
      <c r="G57" s="324">
        <f>IF(G8&gt;$E$2+9,"",DATEDIF(G8,$E$2+9,"y"))</f>
        <v>122</v>
      </c>
      <c r="H57" s="324">
        <f>IF(H8&gt;$E$2+9,"",DATEDIF(H8,$E$2+9,"y"))</f>
        <v>122</v>
      </c>
      <c r="I57" s="325">
        <f>IF(I8&gt;$E$2+9,"",DATEDIF(I8,$E$2+9,"y"))</f>
        <v>122</v>
      </c>
      <c r="J57" s="393">
        <f t="shared" si="7"/>
        <v>0</v>
      </c>
      <c r="K57" s="394">
        <f t="shared" si="8"/>
        <v>0</v>
      </c>
      <c r="L57" s="395">
        <f t="shared" si="9"/>
        <v>0</v>
      </c>
      <c r="M57" s="396">
        <f t="shared" si="10"/>
        <v>0</v>
      </c>
      <c r="N57" s="394">
        <f t="shared" si="11"/>
        <v>0</v>
      </c>
      <c r="O57" s="395">
        <f t="shared" si="12"/>
        <v>0</v>
      </c>
      <c r="P57" s="397">
        <f t="shared" si="13"/>
        <v>0</v>
      </c>
      <c r="Q57" s="394">
        <f t="shared" si="14"/>
        <v>0</v>
      </c>
      <c r="R57" s="395">
        <f t="shared" si="15"/>
        <v>0</v>
      </c>
      <c r="S57" s="398">
        <f t="shared" si="16"/>
        <v>0</v>
      </c>
      <c r="T57" s="370">
        <f t="shared" si="17"/>
        <v>0</v>
      </c>
      <c r="U57" s="394">
        <f t="shared" si="18"/>
        <v>0</v>
      </c>
      <c r="V57" s="400">
        <f t="shared" si="19"/>
        <v>0</v>
      </c>
      <c r="W57" s="394">
        <f t="shared" si="20"/>
        <v>0</v>
      </c>
      <c r="X57" s="395">
        <f t="shared" si="21"/>
        <v>0</v>
      </c>
      <c r="Y57" s="102">
        <f t="shared" si="22"/>
        <v>0</v>
      </c>
      <c r="Z57" s="339">
        <f t="shared" si="23"/>
        <v>0</v>
      </c>
      <c r="AA57" s="102">
        <f t="shared" si="24"/>
        <v>0</v>
      </c>
      <c r="AB57" s="339">
        <f t="shared" si="25"/>
        <v>0</v>
      </c>
      <c r="AC57" s="102">
        <f t="shared" si="26"/>
        <v>0</v>
      </c>
      <c r="AD57" s="339">
        <f t="shared" si="27"/>
        <v>0</v>
      </c>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row>
    <row r="58" spans="1:64" ht="18" hidden="1" customHeight="1">
      <c r="A58" s="358"/>
      <c r="B58" s="359"/>
      <c r="C58" s="369"/>
      <c r="D58" s="384"/>
      <c r="E58" s="324">
        <f>IF(E8&gt;$E$2+10,"",DATEDIF(E8,$E$2+10,"y"))</f>
        <v>122</v>
      </c>
      <c r="F58" s="324">
        <f>IF(F8&gt;$E$2+10,"",DATEDIF(F8,$E$2+10,"y"))</f>
        <v>122</v>
      </c>
      <c r="G58" s="324">
        <f>IF(G8&gt;$E$2+10,"",DATEDIF(G8,$E$2+10,"y"))</f>
        <v>122</v>
      </c>
      <c r="H58" s="324">
        <f>IF(H8&gt;$E$2+10,"",DATEDIF(H8,$E$2+10,"y"))</f>
        <v>122</v>
      </c>
      <c r="I58" s="325">
        <f>IF(I8&gt;$E$2+10,"",DATEDIF(I8,$E$2+10,"y"))</f>
        <v>122</v>
      </c>
      <c r="J58" s="393">
        <f t="shared" si="7"/>
        <v>0</v>
      </c>
      <c r="K58" s="394">
        <f t="shared" si="8"/>
        <v>0</v>
      </c>
      <c r="L58" s="395">
        <f t="shared" si="9"/>
        <v>0</v>
      </c>
      <c r="M58" s="396">
        <f t="shared" si="10"/>
        <v>0</v>
      </c>
      <c r="N58" s="394">
        <f t="shared" si="11"/>
        <v>0</v>
      </c>
      <c r="O58" s="395">
        <f t="shared" si="12"/>
        <v>0</v>
      </c>
      <c r="P58" s="397">
        <f t="shared" si="13"/>
        <v>0</v>
      </c>
      <c r="Q58" s="394">
        <f t="shared" si="14"/>
        <v>0</v>
      </c>
      <c r="R58" s="395">
        <f t="shared" si="15"/>
        <v>0</v>
      </c>
      <c r="S58" s="398">
        <f t="shared" si="16"/>
        <v>0</v>
      </c>
      <c r="T58" s="370">
        <f t="shared" si="17"/>
        <v>0</v>
      </c>
      <c r="U58" s="394">
        <f t="shared" si="18"/>
        <v>0</v>
      </c>
      <c r="V58" s="400">
        <f t="shared" si="19"/>
        <v>0</v>
      </c>
      <c r="W58" s="394">
        <f t="shared" si="20"/>
        <v>0</v>
      </c>
      <c r="X58" s="395">
        <f t="shared" si="21"/>
        <v>0</v>
      </c>
      <c r="Y58" s="102">
        <f t="shared" si="22"/>
        <v>0</v>
      </c>
      <c r="Z58" s="339">
        <f t="shared" si="23"/>
        <v>0</v>
      </c>
      <c r="AA58" s="102">
        <f t="shared" si="24"/>
        <v>0</v>
      </c>
      <c r="AB58" s="339">
        <f t="shared" si="25"/>
        <v>0</v>
      </c>
      <c r="AC58" s="102">
        <f t="shared" si="26"/>
        <v>0</v>
      </c>
      <c r="AD58" s="339">
        <f t="shared" si="27"/>
        <v>0</v>
      </c>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row>
    <row r="59" spans="1:64" ht="18" hidden="1" customHeight="1">
      <c r="A59" s="358"/>
      <c r="B59" s="359"/>
      <c r="C59" s="369"/>
      <c r="D59" s="384"/>
      <c r="E59" s="324">
        <f>IF(E8&gt;$E$2+11,"",DATEDIF(E8,$E$2+11,"y"))</f>
        <v>122</v>
      </c>
      <c r="F59" s="324">
        <f>IF(F8&gt;$E$2+11,"",DATEDIF(F8,$E$2+11,"y"))</f>
        <v>122</v>
      </c>
      <c r="G59" s="324">
        <f>IF(G8&gt;$E$2+11,"",DATEDIF(G8,$E$2+11,"y"))</f>
        <v>122</v>
      </c>
      <c r="H59" s="324">
        <f>IF(H8&gt;$E$2+11,"",DATEDIF(H8,$E$2+11,"y"))</f>
        <v>122</v>
      </c>
      <c r="I59" s="325">
        <f>IF(I8&gt;$E$2+11,"",DATEDIF(I8,$E$2+11,"y"))</f>
        <v>122</v>
      </c>
      <c r="J59" s="393">
        <f t="shared" si="7"/>
        <v>0</v>
      </c>
      <c r="K59" s="394">
        <f t="shared" si="8"/>
        <v>0</v>
      </c>
      <c r="L59" s="395">
        <f t="shared" si="9"/>
        <v>0</v>
      </c>
      <c r="M59" s="396">
        <f t="shared" si="10"/>
        <v>0</v>
      </c>
      <c r="N59" s="394">
        <f t="shared" si="11"/>
        <v>0</v>
      </c>
      <c r="O59" s="395">
        <f t="shared" si="12"/>
        <v>0</v>
      </c>
      <c r="P59" s="397">
        <f t="shared" si="13"/>
        <v>0</v>
      </c>
      <c r="Q59" s="394">
        <f t="shared" si="14"/>
        <v>0</v>
      </c>
      <c r="R59" s="395">
        <f t="shared" si="15"/>
        <v>0</v>
      </c>
      <c r="S59" s="398">
        <f t="shared" si="16"/>
        <v>0</v>
      </c>
      <c r="T59" s="370">
        <f t="shared" si="17"/>
        <v>0</v>
      </c>
      <c r="U59" s="394">
        <f t="shared" si="18"/>
        <v>0</v>
      </c>
      <c r="V59" s="400">
        <f t="shared" si="19"/>
        <v>0</v>
      </c>
      <c r="W59" s="394">
        <f t="shared" si="20"/>
        <v>0</v>
      </c>
      <c r="X59" s="395">
        <f t="shared" si="21"/>
        <v>0</v>
      </c>
      <c r="Y59" s="102">
        <f t="shared" si="22"/>
        <v>0</v>
      </c>
      <c r="Z59" s="339">
        <f t="shared" si="23"/>
        <v>0</v>
      </c>
      <c r="AA59" s="102">
        <f t="shared" si="24"/>
        <v>0</v>
      </c>
      <c r="AB59" s="339">
        <f t="shared" si="25"/>
        <v>0</v>
      </c>
      <c r="AC59" s="102">
        <f t="shared" si="26"/>
        <v>0</v>
      </c>
      <c r="AD59" s="339">
        <f t="shared" si="27"/>
        <v>0</v>
      </c>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row>
    <row r="60" spans="1:64" ht="18" hidden="1" customHeight="1">
      <c r="A60" s="358"/>
      <c r="B60" s="359"/>
      <c r="C60" s="369"/>
      <c r="D60" s="384"/>
      <c r="E60" s="324">
        <f>IF(E8&gt;$E$2+12,"",DATEDIF(E8,$E$2+12,"y"))</f>
        <v>122</v>
      </c>
      <c r="F60" s="324">
        <f>IF(F8&gt;$E$2+12,"",DATEDIF(F8,$E$2+12,"y"))</f>
        <v>122</v>
      </c>
      <c r="G60" s="324">
        <f>IF(G8&gt;$E$2+12,"",DATEDIF(G8,$E$2+12,"y"))</f>
        <v>122</v>
      </c>
      <c r="H60" s="324">
        <f>IF(H8&gt;$E$2+12,"",DATEDIF(H8,$E$2+12,"y"))</f>
        <v>122</v>
      </c>
      <c r="I60" s="325">
        <f>IF(I8&gt;$E$2+12,"",DATEDIF(I8,$E$2+12,"y"))</f>
        <v>122</v>
      </c>
      <c r="J60" s="393">
        <f t="shared" si="7"/>
        <v>0</v>
      </c>
      <c r="K60" s="394">
        <f t="shared" si="8"/>
        <v>0</v>
      </c>
      <c r="L60" s="395">
        <f t="shared" si="9"/>
        <v>0</v>
      </c>
      <c r="M60" s="396">
        <f t="shared" si="10"/>
        <v>0</v>
      </c>
      <c r="N60" s="394">
        <f t="shared" si="11"/>
        <v>0</v>
      </c>
      <c r="O60" s="395">
        <f t="shared" si="12"/>
        <v>0</v>
      </c>
      <c r="P60" s="397">
        <f t="shared" si="13"/>
        <v>0</v>
      </c>
      <c r="Q60" s="394">
        <f t="shared" si="14"/>
        <v>0</v>
      </c>
      <c r="R60" s="395">
        <f t="shared" si="15"/>
        <v>0</v>
      </c>
      <c r="S60" s="398">
        <f t="shared" si="16"/>
        <v>0</v>
      </c>
      <c r="T60" s="370">
        <f t="shared" si="17"/>
        <v>0</v>
      </c>
      <c r="U60" s="394">
        <f t="shared" si="18"/>
        <v>0</v>
      </c>
      <c r="V60" s="400">
        <f t="shared" si="19"/>
        <v>0</v>
      </c>
      <c r="W60" s="394">
        <f t="shared" si="20"/>
        <v>0</v>
      </c>
      <c r="X60" s="395">
        <f t="shared" si="21"/>
        <v>0</v>
      </c>
      <c r="Y60" s="102">
        <f t="shared" si="22"/>
        <v>0</v>
      </c>
      <c r="Z60" s="339">
        <f t="shared" si="23"/>
        <v>0</v>
      </c>
      <c r="AA60" s="102">
        <f t="shared" si="24"/>
        <v>0</v>
      </c>
      <c r="AB60" s="339">
        <f t="shared" si="25"/>
        <v>0</v>
      </c>
      <c r="AC60" s="102">
        <f t="shared" si="26"/>
        <v>0</v>
      </c>
      <c r="AD60" s="339">
        <f t="shared" si="27"/>
        <v>0</v>
      </c>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row>
    <row r="61" spans="1:64" ht="18" hidden="1" customHeight="1">
      <c r="A61" s="358"/>
      <c r="B61" s="359"/>
      <c r="C61" s="369"/>
      <c r="D61" s="384"/>
      <c r="E61" s="324">
        <f>IF(E8&gt;$E$2+13,"",DATEDIF(E8,$E$2+13,"y"))</f>
        <v>122</v>
      </c>
      <c r="F61" s="324">
        <f>IF(F8&gt;$E$2+13,"",DATEDIF(F8,$E$2+13,"y"))</f>
        <v>122</v>
      </c>
      <c r="G61" s="324">
        <f>IF(G8&gt;$E$2+13,"",DATEDIF(G8,$E$2+13,"y"))</f>
        <v>122</v>
      </c>
      <c r="H61" s="324">
        <f>IF(H8&gt;$E$2+13,"",DATEDIF(H8,$E$2+13,"y"))</f>
        <v>122</v>
      </c>
      <c r="I61" s="325">
        <f>IF(I8&gt;$E$2+13,"",DATEDIF(I8,$E$2+13,"y"))</f>
        <v>122</v>
      </c>
      <c r="J61" s="393">
        <f t="shared" si="7"/>
        <v>0</v>
      </c>
      <c r="K61" s="394">
        <f t="shared" si="8"/>
        <v>0</v>
      </c>
      <c r="L61" s="395">
        <f t="shared" si="9"/>
        <v>0</v>
      </c>
      <c r="M61" s="396">
        <f t="shared" si="10"/>
        <v>0</v>
      </c>
      <c r="N61" s="394">
        <f t="shared" si="11"/>
        <v>0</v>
      </c>
      <c r="O61" s="395">
        <f t="shared" si="12"/>
        <v>0</v>
      </c>
      <c r="P61" s="397">
        <f t="shared" si="13"/>
        <v>0</v>
      </c>
      <c r="Q61" s="394">
        <f t="shared" si="14"/>
        <v>0</v>
      </c>
      <c r="R61" s="395">
        <f t="shared" si="15"/>
        <v>0</v>
      </c>
      <c r="S61" s="398">
        <f t="shared" si="16"/>
        <v>0</v>
      </c>
      <c r="T61" s="370">
        <f t="shared" si="17"/>
        <v>0</v>
      </c>
      <c r="U61" s="394">
        <f t="shared" si="18"/>
        <v>0</v>
      </c>
      <c r="V61" s="400">
        <f t="shared" si="19"/>
        <v>0</v>
      </c>
      <c r="W61" s="394">
        <f t="shared" si="20"/>
        <v>0</v>
      </c>
      <c r="X61" s="395">
        <f t="shared" si="21"/>
        <v>0</v>
      </c>
      <c r="Y61" s="102">
        <f t="shared" si="22"/>
        <v>0</v>
      </c>
      <c r="Z61" s="339">
        <f t="shared" si="23"/>
        <v>0</v>
      </c>
      <c r="AA61" s="102">
        <f t="shared" si="24"/>
        <v>0</v>
      </c>
      <c r="AB61" s="339">
        <f t="shared" si="25"/>
        <v>0</v>
      </c>
      <c r="AC61" s="102">
        <f t="shared" si="26"/>
        <v>0</v>
      </c>
      <c r="AD61" s="339">
        <f t="shared" si="27"/>
        <v>0</v>
      </c>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row>
    <row r="62" spans="1:64" ht="18" hidden="1" customHeight="1">
      <c r="A62" s="358"/>
      <c r="B62" s="359"/>
      <c r="C62" s="369"/>
      <c r="D62" s="384"/>
      <c r="E62" s="324">
        <f>IF(E8&gt;$E$2+14,"",DATEDIF(E8,$E$2+14,"y"))</f>
        <v>122</v>
      </c>
      <c r="F62" s="324">
        <f>IF(F8&gt;$E$2+14,"",DATEDIF(F8,$E$2+14,"y"))</f>
        <v>122</v>
      </c>
      <c r="G62" s="324">
        <f>IF(G8&gt;$E$2+14,"",DATEDIF(G8,$E$2+14,"y"))</f>
        <v>122</v>
      </c>
      <c r="H62" s="324">
        <f>IF(H8&gt;$E$2+14,"",DATEDIF(H8,$E$2+14,"y"))</f>
        <v>122</v>
      </c>
      <c r="I62" s="325">
        <f>IF(I8&gt;$E$2+14,"",DATEDIF(I8,$E$2+14,"y"))</f>
        <v>122</v>
      </c>
      <c r="J62" s="393">
        <f t="shared" si="7"/>
        <v>0</v>
      </c>
      <c r="K62" s="394">
        <f t="shared" si="8"/>
        <v>0</v>
      </c>
      <c r="L62" s="395">
        <f t="shared" si="9"/>
        <v>0</v>
      </c>
      <c r="M62" s="396">
        <f t="shared" si="10"/>
        <v>0</v>
      </c>
      <c r="N62" s="394">
        <f t="shared" si="11"/>
        <v>0</v>
      </c>
      <c r="O62" s="395">
        <f t="shared" si="12"/>
        <v>0</v>
      </c>
      <c r="P62" s="397">
        <f t="shared" si="13"/>
        <v>0</v>
      </c>
      <c r="Q62" s="394">
        <f t="shared" si="14"/>
        <v>0</v>
      </c>
      <c r="R62" s="395">
        <f t="shared" si="15"/>
        <v>0</v>
      </c>
      <c r="S62" s="398">
        <f t="shared" si="16"/>
        <v>0</v>
      </c>
      <c r="T62" s="370">
        <f t="shared" si="17"/>
        <v>0</v>
      </c>
      <c r="U62" s="394">
        <f t="shared" si="18"/>
        <v>0</v>
      </c>
      <c r="V62" s="400">
        <f t="shared" si="19"/>
        <v>0</v>
      </c>
      <c r="W62" s="394">
        <f t="shared" si="20"/>
        <v>0</v>
      </c>
      <c r="X62" s="395">
        <f t="shared" si="21"/>
        <v>0</v>
      </c>
      <c r="Y62" s="102">
        <f t="shared" si="22"/>
        <v>0</v>
      </c>
      <c r="Z62" s="339">
        <f t="shared" si="23"/>
        <v>0</v>
      </c>
      <c r="AA62" s="102">
        <f t="shared" si="24"/>
        <v>0</v>
      </c>
      <c r="AB62" s="339">
        <f t="shared" si="25"/>
        <v>0</v>
      </c>
      <c r="AC62" s="102">
        <f t="shared" si="26"/>
        <v>0</v>
      </c>
      <c r="AD62" s="339">
        <f t="shared" si="27"/>
        <v>0</v>
      </c>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row>
    <row r="63" spans="1:64" ht="18" hidden="1" customHeight="1">
      <c r="A63" s="358"/>
      <c r="B63" s="359"/>
      <c r="C63" s="369"/>
      <c r="D63" s="384"/>
      <c r="E63" s="324">
        <f>IF(E8&gt;$E$2+15,"",DATEDIF(E8,$E$2+15,"y"))</f>
        <v>122</v>
      </c>
      <c r="F63" s="324">
        <f>IF(F8&gt;$E$2+15,"",DATEDIF(F8,$E$2+15,"y"))</f>
        <v>122</v>
      </c>
      <c r="G63" s="324">
        <f>IF(G8&gt;$E$2+15,"",DATEDIF(G8,$E$2+15,"y"))</f>
        <v>122</v>
      </c>
      <c r="H63" s="324">
        <f>IF(H8&gt;$E$2+15,"",DATEDIF(H8,$E$2+15,"y"))</f>
        <v>122</v>
      </c>
      <c r="I63" s="325">
        <f>IF(I8&gt;$E$2+15,"",DATEDIF(I8,$E$2+15,"y"))</f>
        <v>122</v>
      </c>
      <c r="J63" s="393">
        <f t="shared" si="7"/>
        <v>0</v>
      </c>
      <c r="K63" s="394">
        <f t="shared" si="8"/>
        <v>0</v>
      </c>
      <c r="L63" s="395">
        <f t="shared" si="9"/>
        <v>0</v>
      </c>
      <c r="M63" s="396">
        <f t="shared" si="10"/>
        <v>0</v>
      </c>
      <c r="N63" s="394">
        <f t="shared" si="11"/>
        <v>0</v>
      </c>
      <c r="O63" s="395">
        <f t="shared" si="12"/>
        <v>0</v>
      </c>
      <c r="P63" s="397">
        <f t="shared" si="13"/>
        <v>0</v>
      </c>
      <c r="Q63" s="394">
        <f t="shared" si="14"/>
        <v>0</v>
      </c>
      <c r="R63" s="395">
        <f t="shared" si="15"/>
        <v>0</v>
      </c>
      <c r="S63" s="398">
        <f t="shared" si="16"/>
        <v>0</v>
      </c>
      <c r="T63" s="370">
        <f t="shared" si="17"/>
        <v>0</v>
      </c>
      <c r="U63" s="394">
        <f t="shared" si="18"/>
        <v>0</v>
      </c>
      <c r="V63" s="400">
        <f t="shared" si="19"/>
        <v>0</v>
      </c>
      <c r="W63" s="394">
        <f t="shared" si="20"/>
        <v>0</v>
      </c>
      <c r="X63" s="395">
        <f t="shared" si="21"/>
        <v>0</v>
      </c>
      <c r="Y63" s="102">
        <f t="shared" si="22"/>
        <v>0</v>
      </c>
      <c r="Z63" s="339">
        <f t="shared" si="23"/>
        <v>0</v>
      </c>
      <c r="AA63" s="102">
        <f t="shared" si="24"/>
        <v>0</v>
      </c>
      <c r="AB63" s="339">
        <f t="shared" si="25"/>
        <v>0</v>
      </c>
      <c r="AC63" s="102">
        <f t="shared" si="26"/>
        <v>0</v>
      </c>
      <c r="AD63" s="339">
        <f t="shared" si="27"/>
        <v>0</v>
      </c>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row>
    <row r="64" spans="1:64" ht="18" hidden="1" customHeight="1">
      <c r="A64" s="358"/>
      <c r="B64" s="359"/>
      <c r="C64" s="369"/>
      <c r="D64" s="384"/>
      <c r="E64" s="324">
        <f>IF(E8&gt;$E$2+16,"",DATEDIF(E8,$E$2+16,"y"))</f>
        <v>122</v>
      </c>
      <c r="F64" s="324">
        <f>IF(F8&gt;$E$2+16,"",DATEDIF(F8,$E$2+16,"y"))</f>
        <v>122</v>
      </c>
      <c r="G64" s="324">
        <f>IF(G8&gt;$E$2+16,"",DATEDIF(G8,$E$2+16,"y"))</f>
        <v>122</v>
      </c>
      <c r="H64" s="324">
        <f>IF(H8&gt;$E$2+16,"",DATEDIF(H8,$E$2+16,"y"))</f>
        <v>122</v>
      </c>
      <c r="I64" s="325">
        <f>IF(I8&gt;$E$2+16,"",DATEDIF(I8,$E$2+16,"y"))</f>
        <v>122</v>
      </c>
      <c r="J64" s="393">
        <f t="shared" si="7"/>
        <v>0</v>
      </c>
      <c r="K64" s="394">
        <f t="shared" si="8"/>
        <v>0</v>
      </c>
      <c r="L64" s="395">
        <f t="shared" si="9"/>
        <v>0</v>
      </c>
      <c r="M64" s="396">
        <f t="shared" si="10"/>
        <v>0</v>
      </c>
      <c r="N64" s="394">
        <f t="shared" si="11"/>
        <v>0</v>
      </c>
      <c r="O64" s="395">
        <f t="shared" si="12"/>
        <v>0</v>
      </c>
      <c r="P64" s="397">
        <f t="shared" si="13"/>
        <v>0</v>
      </c>
      <c r="Q64" s="394">
        <f t="shared" si="14"/>
        <v>0</v>
      </c>
      <c r="R64" s="395">
        <f t="shared" si="15"/>
        <v>0</v>
      </c>
      <c r="S64" s="398">
        <f t="shared" si="16"/>
        <v>0</v>
      </c>
      <c r="T64" s="370">
        <f t="shared" si="17"/>
        <v>0</v>
      </c>
      <c r="U64" s="394">
        <f t="shared" si="18"/>
        <v>0</v>
      </c>
      <c r="V64" s="400">
        <f t="shared" si="19"/>
        <v>0</v>
      </c>
      <c r="W64" s="394">
        <f t="shared" si="20"/>
        <v>0</v>
      </c>
      <c r="X64" s="395">
        <f t="shared" si="21"/>
        <v>0</v>
      </c>
      <c r="Y64" s="102">
        <f t="shared" si="22"/>
        <v>0</v>
      </c>
      <c r="Z64" s="339">
        <f t="shared" si="23"/>
        <v>0</v>
      </c>
      <c r="AA64" s="102">
        <f t="shared" si="24"/>
        <v>0</v>
      </c>
      <c r="AB64" s="339">
        <f t="shared" si="25"/>
        <v>0</v>
      </c>
      <c r="AC64" s="102">
        <f t="shared" si="26"/>
        <v>0</v>
      </c>
      <c r="AD64" s="339">
        <f t="shared" si="27"/>
        <v>0</v>
      </c>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row>
    <row r="65" spans="1:64" ht="18" hidden="1" customHeight="1">
      <c r="A65" s="358"/>
      <c r="B65" s="359"/>
      <c r="C65" s="369"/>
      <c r="D65" s="384"/>
      <c r="E65" s="324">
        <f>IF(E8&gt;$E$2+17,"",DATEDIF(E8,$E$2+17,"y"))</f>
        <v>122</v>
      </c>
      <c r="F65" s="324">
        <f>IF(F8&gt;$E$2+17,"",DATEDIF(F8,$E$2+17,"y"))</f>
        <v>122</v>
      </c>
      <c r="G65" s="324">
        <f>IF(G8&gt;$E$2+17,"",DATEDIF(G8,$E$2+17,"y"))</f>
        <v>122</v>
      </c>
      <c r="H65" s="324">
        <f>IF(H8&gt;$E$2+17,"",DATEDIF(H8,$E$2+17,"y"))</f>
        <v>122</v>
      </c>
      <c r="I65" s="325">
        <f>IF(I8&gt;$E$2+17,"",DATEDIF(I8,$E$2+17,"y"))</f>
        <v>122</v>
      </c>
      <c r="J65" s="393">
        <f t="shared" si="7"/>
        <v>0</v>
      </c>
      <c r="K65" s="394">
        <f t="shared" si="8"/>
        <v>0</v>
      </c>
      <c r="L65" s="395">
        <f t="shared" si="9"/>
        <v>0</v>
      </c>
      <c r="M65" s="396">
        <f t="shared" si="10"/>
        <v>0</v>
      </c>
      <c r="N65" s="394">
        <f t="shared" si="11"/>
        <v>0</v>
      </c>
      <c r="O65" s="395">
        <f t="shared" si="12"/>
        <v>0</v>
      </c>
      <c r="P65" s="397">
        <f t="shared" si="13"/>
        <v>0</v>
      </c>
      <c r="Q65" s="394">
        <f t="shared" si="14"/>
        <v>0</v>
      </c>
      <c r="R65" s="395">
        <f t="shared" si="15"/>
        <v>0</v>
      </c>
      <c r="S65" s="398">
        <f t="shared" si="16"/>
        <v>0</v>
      </c>
      <c r="T65" s="370">
        <f t="shared" si="17"/>
        <v>0</v>
      </c>
      <c r="U65" s="394">
        <f t="shared" si="18"/>
        <v>0</v>
      </c>
      <c r="V65" s="400">
        <f t="shared" si="19"/>
        <v>0</v>
      </c>
      <c r="W65" s="394">
        <f t="shared" si="20"/>
        <v>0</v>
      </c>
      <c r="X65" s="395">
        <f t="shared" si="21"/>
        <v>0</v>
      </c>
      <c r="Y65" s="102">
        <f t="shared" si="22"/>
        <v>0</v>
      </c>
      <c r="Z65" s="339">
        <f t="shared" si="23"/>
        <v>0</v>
      </c>
      <c r="AA65" s="102">
        <f t="shared" si="24"/>
        <v>0</v>
      </c>
      <c r="AB65" s="339">
        <f t="shared" si="25"/>
        <v>0</v>
      </c>
      <c r="AC65" s="102">
        <f t="shared" si="26"/>
        <v>0</v>
      </c>
      <c r="AD65" s="339">
        <f t="shared" si="27"/>
        <v>0</v>
      </c>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row>
    <row r="66" spans="1:64" ht="18" hidden="1" customHeight="1">
      <c r="A66" s="358"/>
      <c r="B66" s="359"/>
      <c r="C66" s="369"/>
      <c r="D66" s="384"/>
      <c r="E66" s="324">
        <f>IF(E8&gt;$E$2+18,"",DATEDIF(E8,$E$2+18,"y"))</f>
        <v>122</v>
      </c>
      <c r="F66" s="324">
        <f>IF(F8&gt;$E$2+18,"",DATEDIF(F8,$E$2+18,"y"))</f>
        <v>122</v>
      </c>
      <c r="G66" s="324">
        <f>IF(G8&gt;$E$2+18,"",DATEDIF(G8,$E$2+18,"y"))</f>
        <v>122</v>
      </c>
      <c r="H66" s="324">
        <f>IF(H8&gt;$E$2+18,"",DATEDIF(H8,$E$2+18,"y"))</f>
        <v>122</v>
      </c>
      <c r="I66" s="325">
        <f>IF(I8&gt;$E$2+18,"",DATEDIF(I8,$E$2+18,"y"))</f>
        <v>122</v>
      </c>
      <c r="J66" s="393">
        <f t="shared" si="7"/>
        <v>0</v>
      </c>
      <c r="K66" s="394">
        <f t="shared" si="8"/>
        <v>0</v>
      </c>
      <c r="L66" s="395">
        <f t="shared" si="9"/>
        <v>0</v>
      </c>
      <c r="M66" s="396">
        <f t="shared" si="10"/>
        <v>0</v>
      </c>
      <c r="N66" s="394">
        <f t="shared" si="11"/>
        <v>0</v>
      </c>
      <c r="O66" s="395">
        <f t="shared" si="12"/>
        <v>0</v>
      </c>
      <c r="P66" s="397">
        <f t="shared" si="13"/>
        <v>0</v>
      </c>
      <c r="Q66" s="394">
        <f t="shared" si="14"/>
        <v>0</v>
      </c>
      <c r="R66" s="395">
        <f t="shared" si="15"/>
        <v>0</v>
      </c>
      <c r="S66" s="398">
        <f t="shared" si="16"/>
        <v>0</v>
      </c>
      <c r="T66" s="370">
        <f t="shared" si="17"/>
        <v>0</v>
      </c>
      <c r="U66" s="394">
        <f t="shared" si="18"/>
        <v>0</v>
      </c>
      <c r="V66" s="400">
        <f t="shared" si="19"/>
        <v>0</v>
      </c>
      <c r="W66" s="394">
        <f t="shared" si="20"/>
        <v>0</v>
      </c>
      <c r="X66" s="395">
        <f t="shared" si="21"/>
        <v>0</v>
      </c>
      <c r="Y66" s="102">
        <f t="shared" si="22"/>
        <v>0</v>
      </c>
      <c r="Z66" s="339">
        <f t="shared" si="23"/>
        <v>0</v>
      </c>
      <c r="AA66" s="102">
        <f t="shared" si="24"/>
        <v>0</v>
      </c>
      <c r="AB66" s="339">
        <f t="shared" si="25"/>
        <v>0</v>
      </c>
      <c r="AC66" s="102">
        <f t="shared" si="26"/>
        <v>0</v>
      </c>
      <c r="AD66" s="339">
        <f t="shared" si="27"/>
        <v>0</v>
      </c>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row>
    <row r="67" spans="1:64" ht="18" hidden="1" customHeight="1">
      <c r="A67" s="358"/>
      <c r="B67" s="359"/>
      <c r="C67" s="369"/>
      <c r="D67" s="384"/>
      <c r="E67" s="324">
        <f>IF(E8&gt;$E$2+19,"",DATEDIF(E8,$E$2+19,"y"))</f>
        <v>122</v>
      </c>
      <c r="F67" s="324">
        <f>IF(F8&gt;$E$2+19,"",DATEDIF(F8,$E$2+19,"y"))</f>
        <v>122</v>
      </c>
      <c r="G67" s="324">
        <f>IF(G8&gt;$E$2+19,"",DATEDIF(G8,$E$2+19,"y"))</f>
        <v>122</v>
      </c>
      <c r="H67" s="324">
        <f>IF(H8&gt;$E$2+19,"",DATEDIF(H8,$E$2+19,"y"))</f>
        <v>122</v>
      </c>
      <c r="I67" s="325">
        <f>IF(I8&gt;$E$2+19,"",DATEDIF(I8,$E$2+19,"y"))</f>
        <v>122</v>
      </c>
      <c r="J67" s="393">
        <f t="shared" si="7"/>
        <v>0</v>
      </c>
      <c r="K67" s="394">
        <f t="shared" si="8"/>
        <v>0</v>
      </c>
      <c r="L67" s="395">
        <f t="shared" si="9"/>
        <v>0</v>
      </c>
      <c r="M67" s="396">
        <f t="shared" si="10"/>
        <v>0</v>
      </c>
      <c r="N67" s="394">
        <f t="shared" si="11"/>
        <v>0</v>
      </c>
      <c r="O67" s="395">
        <f t="shared" si="12"/>
        <v>0</v>
      </c>
      <c r="P67" s="397">
        <f t="shared" si="13"/>
        <v>0</v>
      </c>
      <c r="Q67" s="394">
        <f t="shared" si="14"/>
        <v>0</v>
      </c>
      <c r="R67" s="395">
        <f t="shared" si="15"/>
        <v>0</v>
      </c>
      <c r="S67" s="398">
        <f t="shared" si="16"/>
        <v>0</v>
      </c>
      <c r="T67" s="370">
        <f t="shared" si="17"/>
        <v>0</v>
      </c>
      <c r="U67" s="394">
        <f t="shared" si="18"/>
        <v>0</v>
      </c>
      <c r="V67" s="400">
        <f t="shared" si="19"/>
        <v>0</v>
      </c>
      <c r="W67" s="394">
        <f t="shared" si="20"/>
        <v>0</v>
      </c>
      <c r="X67" s="395">
        <f t="shared" si="21"/>
        <v>0</v>
      </c>
      <c r="Y67" s="102">
        <f t="shared" si="22"/>
        <v>0</v>
      </c>
      <c r="Z67" s="339">
        <f t="shared" si="23"/>
        <v>0</v>
      </c>
      <c r="AA67" s="102">
        <f t="shared" si="24"/>
        <v>0</v>
      </c>
      <c r="AB67" s="339">
        <f t="shared" si="25"/>
        <v>0</v>
      </c>
      <c r="AC67" s="102">
        <f t="shared" si="26"/>
        <v>0</v>
      </c>
      <c r="AD67" s="339">
        <f t="shared" si="27"/>
        <v>0</v>
      </c>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row>
    <row r="68" spans="1:64" ht="18" hidden="1" customHeight="1">
      <c r="A68" s="358"/>
      <c r="B68" s="359"/>
      <c r="C68" s="369"/>
      <c r="D68" s="384"/>
      <c r="E68" s="324">
        <f>IF(E8&gt;$E$2+20,"",DATEDIF(E8,$E$2+20,"y"))</f>
        <v>122</v>
      </c>
      <c r="F68" s="324">
        <f>IF(F8&gt;$E$2+20,"",DATEDIF(F8,$E$2+20,"y"))</f>
        <v>122</v>
      </c>
      <c r="G68" s="324">
        <f>IF(G8&gt;$E$2+20,"",DATEDIF(G8,$E$2+20,"y"))</f>
        <v>122</v>
      </c>
      <c r="H68" s="324">
        <f>IF(H8&gt;$E$2+20,"",DATEDIF(H8,$E$2+20,"y"))</f>
        <v>122</v>
      </c>
      <c r="I68" s="325">
        <f>IF(I8&gt;$E$2+20,"",DATEDIF(I8,$E$2+20,"y"))</f>
        <v>122</v>
      </c>
      <c r="J68" s="393">
        <f t="shared" si="7"/>
        <v>0</v>
      </c>
      <c r="K68" s="394">
        <f t="shared" si="8"/>
        <v>0</v>
      </c>
      <c r="L68" s="395">
        <f t="shared" si="9"/>
        <v>0</v>
      </c>
      <c r="M68" s="396">
        <f t="shared" si="10"/>
        <v>0</v>
      </c>
      <c r="N68" s="394">
        <f t="shared" si="11"/>
        <v>0</v>
      </c>
      <c r="O68" s="395">
        <f t="shared" si="12"/>
        <v>0</v>
      </c>
      <c r="P68" s="397">
        <f t="shared" si="13"/>
        <v>0</v>
      </c>
      <c r="Q68" s="394">
        <f t="shared" si="14"/>
        <v>0</v>
      </c>
      <c r="R68" s="395">
        <f t="shared" si="15"/>
        <v>0</v>
      </c>
      <c r="S68" s="398">
        <f t="shared" si="16"/>
        <v>0</v>
      </c>
      <c r="T68" s="370">
        <f t="shared" si="17"/>
        <v>0</v>
      </c>
      <c r="U68" s="394">
        <f t="shared" si="18"/>
        <v>0</v>
      </c>
      <c r="V68" s="400">
        <f t="shared" si="19"/>
        <v>0</v>
      </c>
      <c r="W68" s="394">
        <f t="shared" si="20"/>
        <v>0</v>
      </c>
      <c r="X68" s="395">
        <f t="shared" si="21"/>
        <v>0</v>
      </c>
      <c r="Y68" s="102">
        <f t="shared" si="22"/>
        <v>0</v>
      </c>
      <c r="Z68" s="339">
        <f t="shared" si="23"/>
        <v>0</v>
      </c>
      <c r="AA68" s="102">
        <f t="shared" si="24"/>
        <v>0</v>
      </c>
      <c r="AB68" s="339">
        <f t="shared" si="25"/>
        <v>0</v>
      </c>
      <c r="AC68" s="102">
        <f t="shared" si="26"/>
        <v>0</v>
      </c>
      <c r="AD68" s="339">
        <f t="shared" si="27"/>
        <v>0</v>
      </c>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row>
    <row r="69" spans="1:64" ht="18" hidden="1" customHeight="1">
      <c r="A69" s="358"/>
      <c r="B69" s="359"/>
      <c r="C69" s="369"/>
      <c r="D69" s="384"/>
      <c r="E69" s="324">
        <f>IF(E8&gt;$E$2+21,"",DATEDIF(E8,$E$2+21,"y"))</f>
        <v>122</v>
      </c>
      <c r="F69" s="324">
        <f>IF(F8&gt;$E$2+21,"",DATEDIF(F8,$E$2+21,"y"))</f>
        <v>122</v>
      </c>
      <c r="G69" s="324">
        <f>IF(G8&gt;$E$2+21,"",DATEDIF(G8,$E$2+21,"y"))</f>
        <v>122</v>
      </c>
      <c r="H69" s="324">
        <f>IF(H8&gt;$E$2+21,"",DATEDIF(H8,$E$2+21,"y"))</f>
        <v>122</v>
      </c>
      <c r="I69" s="325">
        <f>IF(I8&gt;$E$2+21,"",DATEDIF(I8,$E$2+21,"y"))</f>
        <v>122</v>
      </c>
      <c r="J69" s="393">
        <f t="shared" si="7"/>
        <v>0</v>
      </c>
      <c r="K69" s="394">
        <f t="shared" si="8"/>
        <v>0</v>
      </c>
      <c r="L69" s="395">
        <f t="shared" si="9"/>
        <v>0</v>
      </c>
      <c r="M69" s="396">
        <f t="shared" si="10"/>
        <v>0</v>
      </c>
      <c r="N69" s="394">
        <f t="shared" si="11"/>
        <v>0</v>
      </c>
      <c r="O69" s="395">
        <f t="shared" si="12"/>
        <v>0</v>
      </c>
      <c r="P69" s="397">
        <f t="shared" si="13"/>
        <v>0</v>
      </c>
      <c r="Q69" s="394">
        <f t="shared" si="14"/>
        <v>0</v>
      </c>
      <c r="R69" s="395">
        <f t="shared" si="15"/>
        <v>0</v>
      </c>
      <c r="S69" s="398">
        <f t="shared" si="16"/>
        <v>0</v>
      </c>
      <c r="T69" s="370">
        <f t="shared" si="17"/>
        <v>0</v>
      </c>
      <c r="U69" s="394">
        <f t="shared" si="18"/>
        <v>0</v>
      </c>
      <c r="V69" s="400">
        <f t="shared" si="19"/>
        <v>0</v>
      </c>
      <c r="W69" s="394">
        <f t="shared" si="20"/>
        <v>0</v>
      </c>
      <c r="X69" s="395">
        <f t="shared" si="21"/>
        <v>0</v>
      </c>
      <c r="Y69" s="102">
        <f t="shared" si="22"/>
        <v>0</v>
      </c>
      <c r="Z69" s="339">
        <f t="shared" si="23"/>
        <v>0</v>
      </c>
      <c r="AA69" s="102">
        <f t="shared" si="24"/>
        <v>0</v>
      </c>
      <c r="AB69" s="339">
        <f t="shared" si="25"/>
        <v>0</v>
      </c>
      <c r="AC69" s="102">
        <f t="shared" si="26"/>
        <v>0</v>
      </c>
      <c r="AD69" s="339">
        <f t="shared" si="27"/>
        <v>0</v>
      </c>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row>
    <row r="70" spans="1:64" ht="18" hidden="1" customHeight="1">
      <c r="A70" s="358"/>
      <c r="B70" s="359"/>
      <c r="C70" s="369"/>
      <c r="D70" s="384"/>
      <c r="E70" s="324">
        <f>IF(E8&gt;$E$2+22,"",DATEDIF(E8,$E$2+22,"y"))</f>
        <v>122</v>
      </c>
      <c r="F70" s="324">
        <f>IF(F8&gt;$E$2+22,"",DATEDIF(F8,$E$2+22,"y"))</f>
        <v>122</v>
      </c>
      <c r="G70" s="324">
        <f>IF(G8&gt;$E$2+22,"",DATEDIF(G8,$E$2+22,"y"))</f>
        <v>122</v>
      </c>
      <c r="H70" s="324">
        <f>IF(H8&gt;$E$2+22,"",DATEDIF(H8,$E$2+22,"y"))</f>
        <v>122</v>
      </c>
      <c r="I70" s="325">
        <f>IF(I8&gt;$E$2+22,"",DATEDIF(I8,$E$2+22,"y"))</f>
        <v>122</v>
      </c>
      <c r="J70" s="393">
        <f t="shared" si="7"/>
        <v>0</v>
      </c>
      <c r="K70" s="394">
        <f t="shared" si="8"/>
        <v>0</v>
      </c>
      <c r="L70" s="395">
        <f t="shared" si="9"/>
        <v>0</v>
      </c>
      <c r="M70" s="396">
        <f t="shared" si="10"/>
        <v>0</v>
      </c>
      <c r="N70" s="394">
        <f t="shared" si="11"/>
        <v>0</v>
      </c>
      <c r="O70" s="395">
        <f t="shared" si="12"/>
        <v>0</v>
      </c>
      <c r="P70" s="397">
        <f t="shared" si="13"/>
        <v>0</v>
      </c>
      <c r="Q70" s="394">
        <f t="shared" si="14"/>
        <v>0</v>
      </c>
      <c r="R70" s="395">
        <f t="shared" si="15"/>
        <v>0</v>
      </c>
      <c r="S70" s="398">
        <f t="shared" si="16"/>
        <v>0</v>
      </c>
      <c r="T70" s="370">
        <f t="shared" si="17"/>
        <v>0</v>
      </c>
      <c r="U70" s="394">
        <f t="shared" si="18"/>
        <v>0</v>
      </c>
      <c r="V70" s="400">
        <f t="shared" si="19"/>
        <v>0</v>
      </c>
      <c r="W70" s="394">
        <f t="shared" si="20"/>
        <v>0</v>
      </c>
      <c r="X70" s="395">
        <f t="shared" si="21"/>
        <v>0</v>
      </c>
      <c r="Y70" s="102">
        <f t="shared" si="22"/>
        <v>0</v>
      </c>
      <c r="Z70" s="339">
        <f t="shared" si="23"/>
        <v>0</v>
      </c>
      <c r="AA70" s="102">
        <f t="shared" si="24"/>
        <v>0</v>
      </c>
      <c r="AB70" s="339">
        <f t="shared" si="25"/>
        <v>0</v>
      </c>
      <c r="AC70" s="102">
        <f t="shared" si="26"/>
        <v>0</v>
      </c>
      <c r="AD70" s="339">
        <f t="shared" si="27"/>
        <v>0</v>
      </c>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row>
    <row r="71" spans="1:64" ht="18" hidden="1" customHeight="1">
      <c r="A71" s="358"/>
      <c r="B71" s="359"/>
      <c r="C71" s="369"/>
      <c r="D71" s="384"/>
      <c r="E71" s="324">
        <f>IF(E8&gt;$E$2+23,"",DATEDIF(E8,$E$2+23,"y"))</f>
        <v>122</v>
      </c>
      <c r="F71" s="324">
        <f>IF(F8&gt;$E$2+23,"",DATEDIF(F8,$E$2+23,"y"))</f>
        <v>122</v>
      </c>
      <c r="G71" s="324">
        <f>IF(G8&gt;$E$2+23,"",DATEDIF(G8,$E$2+23,"y"))</f>
        <v>122</v>
      </c>
      <c r="H71" s="324">
        <f>IF(H8&gt;$E$2+23,"",DATEDIF(H8,$E$2+23,"y"))</f>
        <v>122</v>
      </c>
      <c r="I71" s="325">
        <f>IF(I8&gt;$E$2+23,"",DATEDIF(I8,$E$2+23,"y"))</f>
        <v>122</v>
      </c>
      <c r="J71" s="393">
        <f t="shared" si="7"/>
        <v>0</v>
      </c>
      <c r="K71" s="394">
        <f t="shared" si="8"/>
        <v>0</v>
      </c>
      <c r="L71" s="395">
        <f t="shared" si="9"/>
        <v>0</v>
      </c>
      <c r="M71" s="396">
        <f t="shared" si="10"/>
        <v>0</v>
      </c>
      <c r="N71" s="394">
        <f t="shared" si="11"/>
        <v>0</v>
      </c>
      <c r="O71" s="395">
        <f t="shared" si="12"/>
        <v>0</v>
      </c>
      <c r="P71" s="397">
        <f t="shared" si="13"/>
        <v>0</v>
      </c>
      <c r="Q71" s="394">
        <f t="shared" si="14"/>
        <v>0</v>
      </c>
      <c r="R71" s="395">
        <f t="shared" si="15"/>
        <v>0</v>
      </c>
      <c r="S71" s="398">
        <f t="shared" si="16"/>
        <v>0</v>
      </c>
      <c r="T71" s="370">
        <f t="shared" si="17"/>
        <v>0</v>
      </c>
      <c r="U71" s="394">
        <f t="shared" si="18"/>
        <v>0</v>
      </c>
      <c r="V71" s="400">
        <f t="shared" si="19"/>
        <v>0</v>
      </c>
      <c r="W71" s="394">
        <f t="shared" si="20"/>
        <v>0</v>
      </c>
      <c r="X71" s="395">
        <f t="shared" si="21"/>
        <v>0</v>
      </c>
      <c r="Y71" s="102">
        <f t="shared" si="22"/>
        <v>0</v>
      </c>
      <c r="Z71" s="339">
        <f t="shared" si="23"/>
        <v>0</v>
      </c>
      <c r="AA71" s="102">
        <f t="shared" si="24"/>
        <v>0</v>
      </c>
      <c r="AB71" s="339">
        <f t="shared" si="25"/>
        <v>0</v>
      </c>
      <c r="AC71" s="102">
        <f t="shared" si="26"/>
        <v>0</v>
      </c>
      <c r="AD71" s="339">
        <f t="shared" si="27"/>
        <v>0</v>
      </c>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row>
    <row r="72" spans="1:64" ht="18" hidden="1" customHeight="1">
      <c r="A72" s="358"/>
      <c r="B72" s="359"/>
      <c r="C72" s="369"/>
      <c r="D72" s="384"/>
      <c r="E72" s="324">
        <f>IF(E8&gt;$E$2+24,"",DATEDIF(E8,$E$2+24,"y"))</f>
        <v>122</v>
      </c>
      <c r="F72" s="324">
        <f>IF(F8&gt;$E$2+24,"",DATEDIF(F8,$E$2+24,"y"))</f>
        <v>122</v>
      </c>
      <c r="G72" s="324">
        <f>IF(G8&gt;$E$2+24,"",DATEDIF(G8,$E$2+24,"y"))</f>
        <v>122</v>
      </c>
      <c r="H72" s="324">
        <f>IF(H8&gt;$E$2+24,"",DATEDIF(H8,$E$2+24,"y"))</f>
        <v>122</v>
      </c>
      <c r="I72" s="325">
        <f>IF(I8&gt;$E$2+24,"",DATEDIF(I8,$E$2+24,"y"))</f>
        <v>122</v>
      </c>
      <c r="J72" s="393">
        <f t="shared" si="7"/>
        <v>0</v>
      </c>
      <c r="K72" s="394">
        <f t="shared" si="8"/>
        <v>0</v>
      </c>
      <c r="L72" s="395">
        <f t="shared" si="9"/>
        <v>0</v>
      </c>
      <c r="M72" s="396">
        <f t="shared" si="10"/>
        <v>0</v>
      </c>
      <c r="N72" s="394">
        <f t="shared" si="11"/>
        <v>0</v>
      </c>
      <c r="O72" s="395">
        <f t="shared" si="12"/>
        <v>0</v>
      </c>
      <c r="P72" s="397">
        <f t="shared" si="13"/>
        <v>0</v>
      </c>
      <c r="Q72" s="394">
        <f t="shared" si="14"/>
        <v>0</v>
      </c>
      <c r="R72" s="395">
        <f t="shared" si="15"/>
        <v>0</v>
      </c>
      <c r="S72" s="398">
        <f t="shared" si="16"/>
        <v>0</v>
      </c>
      <c r="T72" s="370">
        <f t="shared" si="17"/>
        <v>0</v>
      </c>
      <c r="U72" s="394">
        <f t="shared" si="18"/>
        <v>0</v>
      </c>
      <c r="V72" s="400">
        <f t="shared" si="19"/>
        <v>0</v>
      </c>
      <c r="W72" s="394">
        <f t="shared" si="20"/>
        <v>0</v>
      </c>
      <c r="X72" s="395">
        <f t="shared" si="21"/>
        <v>0</v>
      </c>
      <c r="Y72" s="102">
        <f t="shared" si="22"/>
        <v>0</v>
      </c>
      <c r="Z72" s="339">
        <f t="shared" si="23"/>
        <v>0</v>
      </c>
      <c r="AA72" s="102">
        <f t="shared" si="24"/>
        <v>0</v>
      </c>
      <c r="AB72" s="339">
        <f t="shared" si="25"/>
        <v>0</v>
      </c>
      <c r="AC72" s="102">
        <f t="shared" si="26"/>
        <v>0</v>
      </c>
      <c r="AD72" s="339">
        <f t="shared" si="27"/>
        <v>0</v>
      </c>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row>
    <row r="73" spans="1:64" ht="18" hidden="1" customHeight="1">
      <c r="A73" s="358"/>
      <c r="B73" s="359"/>
      <c r="C73" s="369"/>
      <c r="D73" s="384"/>
      <c r="E73" s="324">
        <f>IF(E8&gt;$E$2+25,"",DATEDIF(E8,$E$2+25,"y"))</f>
        <v>122</v>
      </c>
      <c r="F73" s="324">
        <f>IF(F8&gt;$E$2+25,"",DATEDIF(F8,$E$2+25,"y"))</f>
        <v>122</v>
      </c>
      <c r="G73" s="324">
        <f>IF(G8&gt;$E$2+25,"",DATEDIF(G8,$E$2+25,"y"))</f>
        <v>122</v>
      </c>
      <c r="H73" s="324">
        <f>IF(H8&gt;$E$2+25,"",DATEDIF(H8,$E$2+25,"y"))</f>
        <v>122</v>
      </c>
      <c r="I73" s="325">
        <f>IF(I8&gt;$E$2+25,"",DATEDIF(I8,$E$2+25,"y"))</f>
        <v>122</v>
      </c>
      <c r="J73" s="393">
        <f t="shared" si="7"/>
        <v>0</v>
      </c>
      <c r="K73" s="394">
        <f t="shared" si="8"/>
        <v>0</v>
      </c>
      <c r="L73" s="395">
        <f t="shared" si="9"/>
        <v>0</v>
      </c>
      <c r="M73" s="396">
        <f t="shared" si="10"/>
        <v>0</v>
      </c>
      <c r="N73" s="394">
        <f t="shared" si="11"/>
        <v>0</v>
      </c>
      <c r="O73" s="395">
        <f t="shared" si="12"/>
        <v>0</v>
      </c>
      <c r="P73" s="397">
        <f t="shared" si="13"/>
        <v>0</v>
      </c>
      <c r="Q73" s="394">
        <f t="shared" si="14"/>
        <v>0</v>
      </c>
      <c r="R73" s="395">
        <f t="shared" si="15"/>
        <v>0</v>
      </c>
      <c r="S73" s="398">
        <f t="shared" si="16"/>
        <v>0</v>
      </c>
      <c r="T73" s="370">
        <f t="shared" si="17"/>
        <v>0</v>
      </c>
      <c r="U73" s="394">
        <f t="shared" si="18"/>
        <v>0</v>
      </c>
      <c r="V73" s="400">
        <f t="shared" si="19"/>
        <v>0</v>
      </c>
      <c r="W73" s="394">
        <f t="shared" si="20"/>
        <v>0</v>
      </c>
      <c r="X73" s="395">
        <f t="shared" si="21"/>
        <v>0</v>
      </c>
      <c r="Y73" s="102">
        <f t="shared" si="22"/>
        <v>0</v>
      </c>
      <c r="Z73" s="339">
        <f t="shared" si="23"/>
        <v>0</v>
      </c>
      <c r="AA73" s="102">
        <f t="shared" si="24"/>
        <v>0</v>
      </c>
      <c r="AB73" s="339">
        <f t="shared" si="25"/>
        <v>0</v>
      </c>
      <c r="AC73" s="102">
        <f t="shared" si="26"/>
        <v>0</v>
      </c>
      <c r="AD73" s="339">
        <f t="shared" si="27"/>
        <v>0</v>
      </c>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row>
    <row r="74" spans="1:64" ht="18" hidden="1" customHeight="1">
      <c r="A74" s="358"/>
      <c r="B74" s="359"/>
      <c r="C74" s="369"/>
      <c r="D74" s="384"/>
      <c r="E74" s="324">
        <f>IF(E8&gt;$E$2+26,"",DATEDIF(E8,$E$2+26,"y"))</f>
        <v>122</v>
      </c>
      <c r="F74" s="324">
        <f>IF(F8&gt;$E$2+26,"",DATEDIF(F8,$E$2+26,"y"))</f>
        <v>122</v>
      </c>
      <c r="G74" s="324">
        <f>IF(G8&gt;$E$2+26,"",DATEDIF(G8,$E$2+26,"y"))</f>
        <v>122</v>
      </c>
      <c r="H74" s="324">
        <f>IF(H8&gt;$E$2+26,"",DATEDIF(H8,$E$2+26,"y"))</f>
        <v>122</v>
      </c>
      <c r="I74" s="325">
        <f>IF(I8&gt;$E$2+26,"",DATEDIF(I8,$E$2+26,"y"))</f>
        <v>122</v>
      </c>
      <c r="J74" s="393">
        <f t="shared" si="7"/>
        <v>0</v>
      </c>
      <c r="K74" s="394">
        <f t="shared" si="8"/>
        <v>0</v>
      </c>
      <c r="L74" s="395">
        <f t="shared" si="9"/>
        <v>0</v>
      </c>
      <c r="M74" s="396">
        <f t="shared" si="10"/>
        <v>0</v>
      </c>
      <c r="N74" s="394">
        <f t="shared" si="11"/>
        <v>0</v>
      </c>
      <c r="O74" s="395">
        <f t="shared" si="12"/>
        <v>0</v>
      </c>
      <c r="P74" s="397">
        <f t="shared" si="13"/>
        <v>0</v>
      </c>
      <c r="Q74" s="394">
        <f t="shared" si="14"/>
        <v>0</v>
      </c>
      <c r="R74" s="395">
        <f t="shared" si="15"/>
        <v>0</v>
      </c>
      <c r="S74" s="398">
        <f t="shared" si="16"/>
        <v>0</v>
      </c>
      <c r="T74" s="370">
        <f t="shared" si="17"/>
        <v>0</v>
      </c>
      <c r="U74" s="394">
        <f t="shared" si="18"/>
        <v>0</v>
      </c>
      <c r="V74" s="400">
        <f t="shared" si="19"/>
        <v>0</v>
      </c>
      <c r="W74" s="394">
        <f t="shared" si="20"/>
        <v>0</v>
      </c>
      <c r="X74" s="395">
        <f t="shared" si="21"/>
        <v>0</v>
      </c>
      <c r="Y74" s="102">
        <f t="shared" si="22"/>
        <v>0</v>
      </c>
      <c r="Z74" s="339">
        <f t="shared" si="23"/>
        <v>0</v>
      </c>
      <c r="AA74" s="102">
        <f t="shared" si="24"/>
        <v>0</v>
      </c>
      <c r="AB74" s="339">
        <f t="shared" si="25"/>
        <v>0</v>
      </c>
      <c r="AC74" s="102">
        <f t="shared" si="26"/>
        <v>0</v>
      </c>
      <c r="AD74" s="339">
        <f t="shared" si="27"/>
        <v>0</v>
      </c>
      <c r="AF74" s="287"/>
      <c r="AG74" s="287"/>
      <c r="AH74" s="287"/>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row>
    <row r="75" spans="1:64" ht="18" hidden="1" customHeight="1">
      <c r="A75" s="358"/>
      <c r="B75" s="359"/>
      <c r="C75" s="369"/>
      <c r="D75" s="384"/>
      <c r="E75" s="324">
        <f>IF(E8&gt;$E$2+27,"",DATEDIF(E8,$E$2+27,"y"))</f>
        <v>122</v>
      </c>
      <c r="F75" s="324">
        <f>IF(F8&gt;$E$2+27,"",DATEDIF(F8,$E$2+27,"y"))</f>
        <v>122</v>
      </c>
      <c r="G75" s="324">
        <f>IF(G8&gt;$E$2+27,"",DATEDIF(G8,$E$2+27,"y"))</f>
        <v>122</v>
      </c>
      <c r="H75" s="324">
        <f>IF(H8&gt;$E$2+27,"",DATEDIF(H8,$E$2+27,"y"))</f>
        <v>122</v>
      </c>
      <c r="I75" s="325">
        <f>IF(I8&gt;$E$2+27,"",DATEDIF(I8,$E$2+27,"y"))</f>
        <v>122</v>
      </c>
      <c r="J75" s="393">
        <f t="shared" si="7"/>
        <v>0</v>
      </c>
      <c r="K75" s="394">
        <f t="shared" si="8"/>
        <v>0</v>
      </c>
      <c r="L75" s="395">
        <f t="shared" si="9"/>
        <v>0</v>
      </c>
      <c r="M75" s="396">
        <f t="shared" si="10"/>
        <v>0</v>
      </c>
      <c r="N75" s="394">
        <f t="shared" si="11"/>
        <v>0</v>
      </c>
      <c r="O75" s="395">
        <f t="shared" si="12"/>
        <v>0</v>
      </c>
      <c r="P75" s="397">
        <f t="shared" si="13"/>
        <v>0</v>
      </c>
      <c r="Q75" s="394">
        <f t="shared" si="14"/>
        <v>0</v>
      </c>
      <c r="R75" s="395">
        <f t="shared" si="15"/>
        <v>0</v>
      </c>
      <c r="S75" s="398">
        <f t="shared" si="16"/>
        <v>0</v>
      </c>
      <c r="T75" s="370">
        <f t="shared" si="17"/>
        <v>0</v>
      </c>
      <c r="U75" s="394">
        <f t="shared" si="18"/>
        <v>0</v>
      </c>
      <c r="V75" s="400">
        <f t="shared" si="19"/>
        <v>0</v>
      </c>
      <c r="W75" s="394">
        <f t="shared" si="20"/>
        <v>0</v>
      </c>
      <c r="X75" s="395">
        <f t="shared" si="21"/>
        <v>0</v>
      </c>
      <c r="Y75" s="102">
        <f t="shared" si="22"/>
        <v>0</v>
      </c>
      <c r="Z75" s="339">
        <f t="shared" si="23"/>
        <v>0</v>
      </c>
      <c r="AA75" s="102">
        <f t="shared" si="24"/>
        <v>0</v>
      </c>
      <c r="AB75" s="339">
        <f t="shared" si="25"/>
        <v>0</v>
      </c>
      <c r="AC75" s="102">
        <f t="shared" si="26"/>
        <v>0</v>
      </c>
      <c r="AD75" s="339">
        <f t="shared" si="27"/>
        <v>0</v>
      </c>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row>
    <row r="76" spans="1:64" ht="18" hidden="1" customHeight="1">
      <c r="A76" s="358"/>
      <c r="B76" s="359"/>
      <c r="C76" s="369"/>
      <c r="D76" s="384"/>
      <c r="E76" s="324">
        <f>IF(E8&gt;$E$2+28,"",DATEDIF(E8,$E$2+28,"y"))</f>
        <v>122</v>
      </c>
      <c r="F76" s="324">
        <f>IF(F8&gt;$E$2+28,"",DATEDIF(F8,$E$2+28,"y"))</f>
        <v>122</v>
      </c>
      <c r="G76" s="324">
        <f>IF(G8&gt;$E$2+28,"",DATEDIF(G8,$E$2+28,"y"))</f>
        <v>122</v>
      </c>
      <c r="H76" s="324">
        <f>IF(H8&gt;$E$2+28,"",DATEDIF(H8,$E$2+28,"y"))</f>
        <v>122</v>
      </c>
      <c r="I76" s="325">
        <f>IF(I8&gt;$E$2+28,"",DATEDIF(I8,$E$2+28,"y"))</f>
        <v>122</v>
      </c>
      <c r="J76" s="393">
        <f>IF(AND(I2="Februar",G2&lt;29),"",COUNTIF(E76:I76,"&lt;7"))</f>
        <v>0</v>
      </c>
      <c r="K76" s="394">
        <f t="shared" si="8"/>
        <v>0</v>
      </c>
      <c r="L76" s="395">
        <f t="shared" si="9"/>
        <v>0</v>
      </c>
      <c r="M76" s="396">
        <f>IF(AND(I2="Februar",G2&lt;29),"",SUMPRODUCT((E76:I76&gt;6)*(E76:I76&lt;18)))</f>
        <v>0</v>
      </c>
      <c r="N76" s="394">
        <f t="shared" si="11"/>
        <v>0</v>
      </c>
      <c r="O76" s="395">
        <f t="shared" si="12"/>
        <v>0</v>
      </c>
      <c r="P76" s="397">
        <f>IF(AND(I2="Februar",G2&lt;29),"",COUNTIF(E76:I76,"&lt;16"))</f>
        <v>0</v>
      </c>
      <c r="Q76" s="394">
        <f t="shared" si="14"/>
        <v>0</v>
      </c>
      <c r="R76" s="395">
        <f t="shared" si="15"/>
        <v>0</v>
      </c>
      <c r="S76" s="398">
        <f>IF(AND(I2="Februar",G2&lt;29),"",SUMPRODUCT((E76:I76&gt;15)*(E76:I76&lt;18)))</f>
        <v>0</v>
      </c>
      <c r="T76" s="370">
        <f t="shared" si="17"/>
        <v>0</v>
      </c>
      <c r="U76" s="394">
        <f t="shared" si="18"/>
        <v>0</v>
      </c>
      <c r="V76" s="400">
        <f>IF(AND(I2="Februar",G2&lt;29),"",SUMPRODUCT((E76:I76&gt;6)*(E76:I76&lt;16))+SUMPRODUCT((E76:I76&gt;15)*(E76:I76&lt;18)))</f>
        <v>0</v>
      </c>
      <c r="W76" s="394">
        <f t="shared" si="20"/>
        <v>0</v>
      </c>
      <c r="X76" s="395">
        <f t="shared" si="21"/>
        <v>0</v>
      </c>
      <c r="Y76" s="102">
        <f>IF(AND(I2="Februar",G2&lt;29),"",COUNTIF(E76:I76,"&lt;18"))</f>
        <v>0</v>
      </c>
      <c r="Z76" s="339">
        <f t="shared" si="23"/>
        <v>0</v>
      </c>
      <c r="AA76" s="102">
        <f>IF(AND(I2="Februar",G2&lt;29),"",COUNTIF(E76:I76,"&lt;18"))</f>
        <v>0</v>
      </c>
      <c r="AB76" s="339">
        <f t="shared" si="25"/>
        <v>0</v>
      </c>
      <c r="AC76" s="102">
        <f>IF(AND(I2="Februar",G2&lt;29),"",COUNTIF(E76:I76,"&lt;18"))</f>
        <v>0</v>
      </c>
      <c r="AD76" s="339">
        <f t="shared" si="27"/>
        <v>0</v>
      </c>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row>
    <row r="77" spans="1:64" ht="18" hidden="1" customHeight="1">
      <c r="A77" s="358"/>
      <c r="B77" s="359"/>
      <c r="C77" s="369"/>
      <c r="D77" s="384"/>
      <c r="E77" s="324">
        <f>IF(E8&gt;$E$2+29,"",DATEDIF(E8,$E$2+29,"y"))</f>
        <v>122</v>
      </c>
      <c r="F77" s="324">
        <f>IF(F8&gt;$E$2+29,"",DATEDIF(F8,$E$2+29,"y"))</f>
        <v>122</v>
      </c>
      <c r="G77" s="324">
        <f>IF(G8&gt;$E$2+29,"",DATEDIF(G8,$E$2+29,"y"))</f>
        <v>122</v>
      </c>
      <c r="H77" s="324">
        <f>IF(H8&gt;$E$2+29,"",DATEDIF(H8,$E$2+29,"y"))</f>
        <v>122</v>
      </c>
      <c r="I77" s="325">
        <f>IF(I8&gt;$E$2+29,"",DATEDIF(I8,$E$2+29,"y"))</f>
        <v>122</v>
      </c>
      <c r="J77" s="393">
        <f>IF(I2="Februar","",COUNTIF(E77:I77,"&lt;7"))</f>
        <v>0</v>
      </c>
      <c r="K77" s="394">
        <f t="shared" si="8"/>
        <v>0</v>
      </c>
      <c r="L77" s="395">
        <f t="shared" si="9"/>
        <v>0</v>
      </c>
      <c r="M77" s="396">
        <f>IF(I2="Februar","",SUMPRODUCT((E77:I77&gt;6)*(E77:I77&lt;18)))</f>
        <v>0</v>
      </c>
      <c r="N77" s="394">
        <f t="shared" si="11"/>
        <v>0</v>
      </c>
      <c r="O77" s="395">
        <f t="shared" si="12"/>
        <v>0</v>
      </c>
      <c r="P77" s="397">
        <f>IF(I2="Februar","",COUNTIF(E77:I77,"&lt;16"))</f>
        <v>0</v>
      </c>
      <c r="Q77" s="394">
        <f t="shared" si="14"/>
        <v>0</v>
      </c>
      <c r="R77" s="395">
        <f t="shared" si="15"/>
        <v>0</v>
      </c>
      <c r="S77" s="398">
        <f>IF(I2="Februar","",SUMPRODUCT((E77:I77&gt;15)*(E77:I77&lt;18)))</f>
        <v>0</v>
      </c>
      <c r="T77" s="370">
        <f t="shared" si="17"/>
        <v>0</v>
      </c>
      <c r="U77" s="394">
        <f t="shared" si="18"/>
        <v>0</v>
      </c>
      <c r="V77" s="400">
        <f>IF(I2="Februar","",SUMPRODUCT((E77:I77&gt;6)*(E77:I77&lt;16))+SUMPRODUCT((E77:I77&gt;15)*(E77:I77&lt;18)))</f>
        <v>0</v>
      </c>
      <c r="W77" s="394">
        <f t="shared" si="20"/>
        <v>0</v>
      </c>
      <c r="X77" s="395">
        <f t="shared" si="21"/>
        <v>0</v>
      </c>
      <c r="Y77" s="102">
        <f>IF(I2="Februar","",COUNTIF(E77:I77,"&lt;18"))</f>
        <v>0</v>
      </c>
      <c r="Z77" s="339">
        <f t="shared" si="23"/>
        <v>0</v>
      </c>
      <c r="AA77" s="102">
        <f>IF(I2="Februar","",COUNTIF(E77:I77,"&lt;18"))</f>
        <v>0</v>
      </c>
      <c r="AB77" s="339">
        <f t="shared" si="25"/>
        <v>0</v>
      </c>
      <c r="AC77" s="102">
        <f>IF(I2="Februar","",COUNTIF(E77:I77,"&lt;18"))</f>
        <v>0</v>
      </c>
      <c r="AD77" s="339">
        <f t="shared" si="27"/>
        <v>0</v>
      </c>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row>
    <row r="78" spans="1:64" ht="18" hidden="1" customHeight="1">
      <c r="A78" s="358"/>
      <c r="B78" s="359"/>
      <c r="C78" s="369"/>
      <c r="D78" s="384"/>
      <c r="E78" s="324">
        <f>IF(E8&gt;$E$2+30,"",DATEDIF(E8,$E$2+30,"y"))</f>
        <v>122</v>
      </c>
      <c r="F78" s="324">
        <f>IF(F8&gt;$E$2+30,"",DATEDIF(F8,$E$2+30,"y"))</f>
        <v>122</v>
      </c>
      <c r="G78" s="324">
        <f>IF(G8&gt;$E$2+30,"",DATEDIF(G8,$E$2+30,"y"))</f>
        <v>122</v>
      </c>
      <c r="H78" s="324">
        <f>IF(H8&gt;$E$2+30,"",DATEDIF(H8,$E$2+30,"y"))</f>
        <v>122</v>
      </c>
      <c r="I78" s="325">
        <f>IF(I8&gt;$E$2+30,"",DATEDIF(I8,$E$2+30,"y"))</f>
        <v>122</v>
      </c>
      <c r="J78" s="393">
        <f>IF(G2&lt;31,"",COUNTIF(E78:I78,"&lt;7"))</f>
        <v>0</v>
      </c>
      <c r="K78" s="394">
        <f t="shared" si="8"/>
        <v>0</v>
      </c>
      <c r="L78" s="395">
        <f t="shared" si="9"/>
        <v>0</v>
      </c>
      <c r="M78" s="403">
        <f>IF(G2&lt;31,"",SUMPRODUCT((E78:I78&gt;6)*(E78:I78&lt;18)))</f>
        <v>0</v>
      </c>
      <c r="N78" s="404">
        <f t="shared" si="11"/>
        <v>0</v>
      </c>
      <c r="O78" s="395">
        <f t="shared" si="12"/>
        <v>0</v>
      </c>
      <c r="P78" s="397">
        <f>IF(G2&lt;31,"",COUNTIF(E78:I78,"&lt;16"))</f>
        <v>0</v>
      </c>
      <c r="Q78" s="394">
        <f t="shared" si="14"/>
        <v>0</v>
      </c>
      <c r="R78" s="395">
        <f t="shared" si="15"/>
        <v>0</v>
      </c>
      <c r="S78" s="398">
        <f>IF(G2&lt;31,"",SUMPRODUCT((E78:I78&gt;15)*(E78:I78&lt;18)))</f>
        <v>0</v>
      </c>
      <c r="T78" s="370">
        <f t="shared" si="17"/>
        <v>0</v>
      </c>
      <c r="U78" s="394">
        <f t="shared" si="18"/>
        <v>0</v>
      </c>
      <c r="V78" s="400">
        <f>IF(G2&lt;31,"",SUMPRODUCT((E78:I78&gt;6)*(E78:I78&lt;16))+SUMPRODUCT((E78:I78&gt;15)*(E78:I78&lt;18)))</f>
        <v>0</v>
      </c>
      <c r="W78" s="394">
        <f t="shared" si="20"/>
        <v>0</v>
      </c>
      <c r="X78" s="395">
        <f t="shared" si="21"/>
        <v>0</v>
      </c>
      <c r="Y78" s="102">
        <f>IF(G2&lt;31,"",COUNTIF(E78:I78,"&lt;18"))</f>
        <v>0</v>
      </c>
      <c r="Z78" s="339">
        <f t="shared" si="23"/>
        <v>0</v>
      </c>
      <c r="AA78" s="102">
        <f>IF(G2&lt;31,"",COUNTIF(E78:I78,"&lt;18"))</f>
        <v>0</v>
      </c>
      <c r="AB78" s="339">
        <f t="shared" si="25"/>
        <v>0</v>
      </c>
      <c r="AC78" s="102">
        <f>IF(G2&lt;31,"",COUNTIF(E78:I78,"&lt;18"))</f>
        <v>0</v>
      </c>
      <c r="AD78" s="339">
        <f t="shared" si="27"/>
        <v>0</v>
      </c>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row>
    <row r="79" spans="1:64" ht="20.100000000000001" hidden="1" customHeight="1">
      <c r="A79" s="405"/>
      <c r="B79" s="340"/>
      <c r="C79" s="378"/>
      <c r="D79" s="406"/>
      <c r="E79" s="407"/>
      <c r="F79" s="359"/>
      <c r="G79" s="407"/>
      <c r="H79" s="338"/>
      <c r="I79" s="408">
        <f>IF(AND(J33&gt;0,N33=0,Q33&gt;K33),H87*(F13-1)/30+H79,H79)</f>
        <v>0</v>
      </c>
      <c r="J79" s="409"/>
      <c r="K79" s="410"/>
      <c r="L79" s="411">
        <f>COUNTIF(L48:L78,"&gt;0")</f>
        <v>0</v>
      </c>
      <c r="M79" s="412"/>
      <c r="N79" s="413"/>
      <c r="O79" s="414">
        <f>COUNTIF(O48:O78,"&gt;0")</f>
        <v>0</v>
      </c>
      <c r="P79" s="415"/>
      <c r="Q79" s="416"/>
      <c r="R79" s="416">
        <f>COUNTIF(R48:R78,"&gt;0")</f>
        <v>0</v>
      </c>
      <c r="S79" s="417"/>
      <c r="T79" s="418"/>
      <c r="U79" s="419">
        <f>COUNTIF(U48:U78,"&gt;0")</f>
        <v>0</v>
      </c>
      <c r="V79" s="420"/>
      <c r="W79" s="410"/>
      <c r="X79" s="416">
        <f>COUNTIF(X48:X78,"&gt;0")</f>
        <v>0</v>
      </c>
      <c r="Y79" s="417"/>
      <c r="Z79" s="411">
        <f>COUNTIF(Z48:Z78,"&gt;0")</f>
        <v>0</v>
      </c>
      <c r="AA79" s="417"/>
      <c r="AB79" s="411">
        <f>COUNTIF(AB48:AB78,"&gt;0")</f>
        <v>0</v>
      </c>
      <c r="AC79" s="417"/>
      <c r="AD79" s="411">
        <f>COUNTIF(AD48:AD78,"&gt;0")</f>
        <v>0</v>
      </c>
      <c r="AE79" s="392">
        <f>SUM(L79:AD79)</f>
        <v>0</v>
      </c>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row>
    <row r="80" spans="1:64" ht="20.100000000000001" hidden="1" customHeight="1">
      <c r="A80" s="405"/>
      <c r="B80" s="359"/>
      <c r="C80" s="378"/>
      <c r="D80" s="340"/>
      <c r="E80" s="340"/>
      <c r="F80" s="421"/>
      <c r="G80" s="338"/>
      <c r="H80" s="338"/>
      <c r="I80" s="339"/>
      <c r="J80" s="402"/>
      <c r="L80" s="402">
        <f>$C$23*0.36</f>
        <v>147.23999999999998</v>
      </c>
      <c r="M80" s="402"/>
      <c r="O80" s="402">
        <f>$C$23*0.12</f>
        <v>49.08</v>
      </c>
      <c r="P80" s="402"/>
      <c r="R80" s="402">
        <f>$C$23*0.36</f>
        <v>147.23999999999998</v>
      </c>
      <c r="S80" s="402"/>
      <c r="U80" s="402">
        <f>$C$23*0.24</f>
        <v>98.16</v>
      </c>
      <c r="V80" s="402"/>
      <c r="X80" s="402">
        <f>$C$23*0.24</f>
        <v>98.16</v>
      </c>
      <c r="Y80" s="402"/>
      <c r="Z80" s="402">
        <f>$C$23*0.36</f>
        <v>147.23999999999998</v>
      </c>
      <c r="AA80" s="402"/>
      <c r="AB80" s="402">
        <f>$C$23*0.48</f>
        <v>196.32</v>
      </c>
      <c r="AC80" s="402"/>
      <c r="AD80" s="402">
        <f>$C$23*0.6</f>
        <v>245.39999999999998</v>
      </c>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row>
    <row r="81" spans="1:64" ht="20.100000000000001" hidden="1" customHeight="1">
      <c r="A81" s="405"/>
      <c r="B81" s="359"/>
      <c r="C81" s="378"/>
      <c r="D81" s="340"/>
      <c r="E81" s="340"/>
      <c r="F81" s="421"/>
      <c r="G81" s="338"/>
      <c r="H81" s="338"/>
      <c r="I81" s="339"/>
      <c r="J81" s="402"/>
      <c r="L81" s="422">
        <f>IF(AND($AE$47=1,$AE$79&gt;30,L48=0),L79-1,IF(AND($AE$47=1,$AE$79=28,L48=0),L79+2,IF(AND($AE$47=1,$AE$79=29,L48=0),L79+1,L79)))</f>
        <v>0</v>
      </c>
      <c r="M81" s="422"/>
      <c r="O81" s="422">
        <f>IF(AND($AE$47=1,$AE$79&gt;30,O48=0),O79-1,IF(AND($AE$47=1,$AE$79=28,O48=0),O79+2,IF(AND($AE$47=1,$AE$79=29,O48=0),O79+1,O79)))</f>
        <v>0</v>
      </c>
      <c r="P81" s="422"/>
      <c r="Q81" s="422"/>
      <c r="R81" s="422">
        <f>IF(AND($AE$47=1,$AE$79&gt;30,R48=0),R79-1,IF(AND($AE$47=1,$AE$79=28,R48=0),R79+2,IF(AND($AE$47=1,$AE$79=29,R48=0),R79+1,R79)))</f>
        <v>0</v>
      </c>
      <c r="S81" s="422"/>
      <c r="U81" s="422">
        <f>IF(AND($AE$47=1,$AE$79&gt;30,U48=0),U79-1,IF(AND($AE$47=1,$AE$79=28,U48=0),U79+2,IF(AND($AE$47=1,$AE$79=29,U48=0),U79+1,U79)))</f>
        <v>0</v>
      </c>
      <c r="V81" s="422"/>
      <c r="X81" s="422">
        <f>IF(AND($AE$47=1,$AE$79&gt;30,X48=0),X79-1,IF(AND($AE$47=1,$AE$79=28,X48=0),X79+2,IF(AND($AE$47=1,$AE$79=29,X48=0),X79+1,X79)))</f>
        <v>0</v>
      </c>
      <c r="Y81" s="422"/>
      <c r="Z81" s="422">
        <f>IF(AND($AE$47=1,$AE$79&gt;30,Z48=0),Z79-1,IF(AND($AE$47=1,$AE$79=28,Z48=0),Z79+2,IF(AND($AE$47=1,$AE$79=29,Z48=0),Z79+1,Z79)))</f>
        <v>0</v>
      </c>
      <c r="AA81" s="422"/>
      <c r="AB81" s="422">
        <f>IF(AND($AE$47=1,$AE$79&gt;30,AB48=0),AB79-1,IF(AND($AE$47=1,$AE$79=28,AB48=0),AB79+2,IF(AND($AE$47=1,$AE$79=29,AB48=0),AB79+1,AB79)))</f>
        <v>0</v>
      </c>
      <c r="AC81" s="422"/>
      <c r="AD81" s="422">
        <f>IF(AND($AE$47=1,$AE$79&gt;30,AD48=0),AD79-1,IF(AND($AE$47=1,$AE$79=28,AD48=0),AD79+2,IF(AND($AE$47=1,$AE$79=29,AD48=0),AD79+1,AD79)))</f>
        <v>0</v>
      </c>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row>
    <row r="82" spans="1:64" ht="20.100000000000001" hidden="1" customHeight="1">
      <c r="A82" s="405"/>
      <c r="B82" s="359"/>
      <c r="C82" s="378"/>
      <c r="D82" s="340"/>
      <c r="E82" s="340"/>
      <c r="F82" s="421"/>
      <c r="G82" s="338"/>
      <c r="H82" s="338"/>
      <c r="I82" s="339"/>
      <c r="J82" s="402"/>
      <c r="L82" s="422">
        <f>IF(AND($AE$79&gt;30,L79=L81),30,IF(AND($AE$79=28,$I$2="februar",L79=L81),30,IF(AND($AE$79=29,$I$2="Februar"),30,L81)))</f>
        <v>0</v>
      </c>
      <c r="M82" s="422"/>
      <c r="O82" s="422">
        <f>IF(AND($AE$79&gt;30,O79=O81),30,IF(AND($AE$79=28,$I$2="februar",O79=O81),30,IF(AND($AE$79=29,$I$2="Februar"),30,O81)))</f>
        <v>0</v>
      </c>
      <c r="P82" s="422"/>
      <c r="Q82" s="422"/>
      <c r="R82" s="422">
        <f>IF(AND($AE$79&gt;30,R79=R81),30,IF(AND($AE$79=28,$I$2="februar",R79=R81),30,IF(AND($AE$79=29,$I$2="Februar"),30,R81)))</f>
        <v>0</v>
      </c>
      <c r="S82" s="422"/>
      <c r="U82" s="422">
        <f>IF(AND($AE$79&gt;30,U79=U81),30,IF(AND($AE$79=28,$I$2="februar",U79=U81),30,IF(AND($AE$79=29,$I$2="Februar"),30,U81)))</f>
        <v>0</v>
      </c>
      <c r="V82" s="422"/>
      <c r="X82" s="422">
        <f>IF(AND($AE$79&gt;30,X79=X81),30,IF(AND($AE$79=28,$I$2="februar",X79=X81),30,IF(AND($AE$79=29,$I$2="Februar"),30,X81)))</f>
        <v>0</v>
      </c>
      <c r="Y82" s="422"/>
      <c r="Z82" s="422">
        <f>IF(AND($AE$79&gt;30,Z79=Z81),30,IF(AND($AE$79=28,$I$2="februar",Z79=Z81),30,IF(AND($AE$79=29,$I$2="Februar"),30,Z81)))</f>
        <v>0</v>
      </c>
      <c r="AA82" s="422"/>
      <c r="AB82" s="422">
        <f>IF(AND($AE$79&gt;30,AB79=AB81),30,IF(AND($AE$79=28,$I$2="februar",AB79=AB81),30,IF(AND($AE$79=29,$I$2="Februar"),30,AB81)))</f>
        <v>0</v>
      </c>
      <c r="AC82" s="422"/>
      <c r="AD82" s="422">
        <f>IF(AND($AE$79&gt;30,AD79=AD81),30,IF(AND($AE$79=28,$I$2="februar",AD79=AD81),30,IF(AND($AE$79=29,$I$2="Februar"),30,AD81)))</f>
        <v>0</v>
      </c>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row>
    <row r="83" spans="1:64" ht="20.100000000000001" hidden="1" customHeight="1">
      <c r="A83" s="405"/>
      <c r="B83" s="359"/>
      <c r="C83" s="378"/>
      <c r="D83" s="340"/>
      <c r="E83" s="340"/>
      <c r="F83" s="421"/>
      <c r="G83" s="338"/>
      <c r="H83" s="338"/>
      <c r="I83" s="339"/>
      <c r="J83" s="402"/>
      <c r="L83" s="422">
        <f>IF(OR(Q89&gt;0,O84&gt;0),L81,L82)</f>
        <v>0</v>
      </c>
      <c r="M83" s="422"/>
      <c r="N83" s="422"/>
      <c r="O83" s="422">
        <f>IF(R80&lt;&gt;Q89,O81,O82)</f>
        <v>0</v>
      </c>
      <c r="P83" s="422"/>
      <c r="Q83" s="422"/>
      <c r="R83" s="422">
        <f>IF(OR(X90&gt;0,Z86&gt;0),R81,R82)</f>
        <v>0</v>
      </c>
      <c r="S83" s="422"/>
      <c r="U83" s="422">
        <f>IF(O84&gt;0,U81,U82)</f>
        <v>0</v>
      </c>
      <c r="V83" s="422"/>
      <c r="X83" s="422">
        <f>IF(AND(Z79&gt;0,U79&gt;0),X81,IF(Z79&gt;0,X81,X82))</f>
        <v>0</v>
      </c>
      <c r="Y83" s="422"/>
      <c r="Z83" s="422">
        <f>IF(AB84&gt;0,Z81,Z82)</f>
        <v>0</v>
      </c>
      <c r="AA83" s="422"/>
      <c r="AB83" s="422">
        <f>IF(AD83&gt;0,AB81,AB82)</f>
        <v>0</v>
      </c>
      <c r="AC83" s="422"/>
      <c r="AD83" s="402">
        <f>IF(AD79=0,0,AD80/$H$2*AD82)</f>
        <v>0</v>
      </c>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row>
    <row r="84" spans="1:64" ht="20.100000000000001" hidden="1" customHeight="1">
      <c r="A84" s="405"/>
      <c r="B84" s="359"/>
      <c r="C84" s="378"/>
      <c r="D84" s="340"/>
      <c r="E84" s="340"/>
      <c r="F84" s="421"/>
      <c r="G84" s="338"/>
      <c r="H84" s="338"/>
      <c r="I84" s="339"/>
      <c r="J84" s="402"/>
      <c r="L84" s="422">
        <f>IF(Z86&gt;0,L81,L83)</f>
        <v>0</v>
      </c>
      <c r="M84" s="422"/>
      <c r="N84" s="422"/>
      <c r="O84" s="402">
        <f>IF(O79=0,0,O80/$H$2*O83)</f>
        <v>0</v>
      </c>
      <c r="P84" s="422"/>
      <c r="Q84" s="422"/>
      <c r="R84" s="422">
        <f>IF(AND($AE$79&gt;30,R78=0),R79,IF(AND($AE$79=28,$I$2="februar",R75=0),R79,IF(AND($AE$79=29,$I$2="Februar",R76=0),R79,R83)))</f>
        <v>0</v>
      </c>
      <c r="S84" s="422"/>
      <c r="T84" s="422"/>
      <c r="U84" s="422">
        <f>IF(Z86&gt;0,U81,U83)</f>
        <v>0</v>
      </c>
      <c r="V84" s="422"/>
      <c r="X84" s="422">
        <f>IF(AND($AE$79&gt;30,X78=0),X79,IF(AND($AE$79=28,$I$2="februar",X75=0),X79,IF(AND($AE$79=29,$I$2="Februar",X76=0),X79,X83)))</f>
        <v>0</v>
      </c>
      <c r="Y84" s="422"/>
      <c r="Z84" s="422">
        <f>IF(X90&gt;0,Z81,Z83)</f>
        <v>0</v>
      </c>
      <c r="AA84" s="422"/>
      <c r="AB84" s="402">
        <f>IF(AB79=0,0,AB80/$H$2*AB83)</f>
        <v>0</v>
      </c>
      <c r="AC84" s="422"/>
      <c r="AD84" s="423">
        <f>IF(AND($AE$79&gt;30,AD78=0),AD80/30*AD79,IF(AND($AE$79=28,$I$2="februar",AD75=0),AD80/30*AD79,IF(AND($AE$79=29,$I$2="Februar",AD76=0),AD80/30*AD79,AD83)))</f>
        <v>0</v>
      </c>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c r="BB84" s="287"/>
      <c r="BC84" s="287"/>
      <c r="BD84" s="287"/>
      <c r="BE84" s="287"/>
      <c r="BF84" s="287"/>
      <c r="BG84" s="287"/>
      <c r="BH84" s="287"/>
      <c r="BI84" s="287"/>
      <c r="BJ84" s="287"/>
      <c r="BK84" s="287"/>
      <c r="BL84" s="287"/>
    </row>
    <row r="85" spans="1:64" ht="20.100000000000001" hidden="1" customHeight="1">
      <c r="A85" s="405"/>
      <c r="B85" s="359"/>
      <c r="C85" s="378"/>
      <c r="D85" s="340"/>
      <c r="E85" s="340"/>
      <c r="F85" s="421"/>
      <c r="G85" s="338"/>
      <c r="H85" s="338"/>
      <c r="I85" s="339"/>
      <c r="J85" s="402"/>
      <c r="L85" s="422">
        <f>IF(AND($AE$79&gt;30,L78=0),L79,IF(AND($AE$79=28,$I$2="februar",L75=0),L79,IF(AND($AE$79=29,$I$2="Februar",L76=0),L79,L84)))</f>
        <v>0</v>
      </c>
      <c r="M85" s="422"/>
      <c r="N85" s="422"/>
      <c r="O85" s="423">
        <f>IF(AND($AE$79&gt;30,O78=0),O80/30*O79,IF(AND($AE$79=28,$I$2="februar",O75=0),O80/30*O79,IF(AND($AE$79=29,$I$2="Februar",O76=0),O80/30*O79,O84)))</f>
        <v>0</v>
      </c>
      <c r="P85" s="422"/>
      <c r="Q85" s="422"/>
      <c r="R85" s="422"/>
      <c r="S85" s="422"/>
      <c r="T85" s="422"/>
      <c r="U85" s="422">
        <f>IF(AND($AE$79&gt;30,U78=0),U79,IF(AND($AE$79=28,$I$2="februar",U75=0),U79,IF(AND($AE$79=29,$I$2="Februar",U76=0),U79,U84)))</f>
        <v>0</v>
      </c>
      <c r="V85" s="422"/>
      <c r="X85" s="422"/>
      <c r="Y85" s="422"/>
      <c r="Z85" s="422">
        <f>IF(O79&gt;0,Z81,Z84)</f>
        <v>0</v>
      </c>
      <c r="AA85" s="422"/>
      <c r="AB85" s="402">
        <f>IF(AND(AB48&gt;0,Z86&lt;Z80),AB84/$H$2*AB81,AB84)</f>
        <v>0</v>
      </c>
      <c r="AC85" s="422"/>
      <c r="AD85" s="422"/>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7"/>
      <c r="BL85" s="287"/>
    </row>
    <row r="86" spans="1:64" ht="20.100000000000001" hidden="1" customHeight="1">
      <c r="A86" s="405"/>
      <c r="B86" s="359"/>
      <c r="C86" s="378"/>
      <c r="D86" s="340"/>
      <c r="E86" s="340"/>
      <c r="F86" s="421"/>
      <c r="G86" s="338"/>
      <c r="H86" s="338"/>
      <c r="I86" s="339"/>
      <c r="J86" s="402"/>
      <c r="L86" s="422"/>
      <c r="M86" s="422"/>
      <c r="N86" s="422"/>
      <c r="O86" s="423">
        <f>IF(AND(I2="Februar",O79&gt;27,O48&gt;0),O80,O85)</f>
        <v>0</v>
      </c>
      <c r="P86" s="422"/>
      <c r="Q86" s="422"/>
      <c r="R86" s="422"/>
      <c r="S86" s="422"/>
      <c r="T86" s="422"/>
      <c r="U86" s="422"/>
      <c r="V86" s="422"/>
      <c r="X86" s="422"/>
      <c r="Y86" s="422"/>
      <c r="Z86" s="402">
        <f>IF(Z79=0,0,Z80/$H$2*Z85)</f>
        <v>0</v>
      </c>
      <c r="AA86" s="422"/>
      <c r="AB86" s="402">
        <f>IF(AD83&lt;AD80,AB84,AB85)</f>
        <v>0</v>
      </c>
      <c r="AC86" s="422"/>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7"/>
      <c r="BL86" s="287"/>
    </row>
    <row r="87" spans="1:64" ht="20.100000000000001" hidden="1" customHeight="1">
      <c r="A87" s="405"/>
      <c r="B87" s="359"/>
      <c r="C87" s="378"/>
      <c r="D87" s="340"/>
      <c r="E87" s="340"/>
      <c r="F87" s="424"/>
      <c r="G87" s="338"/>
      <c r="H87" s="338"/>
      <c r="I87" s="339"/>
      <c r="J87" s="402"/>
      <c r="M87" s="425"/>
      <c r="P87" s="425"/>
      <c r="S87" s="425"/>
      <c r="V87" s="425"/>
      <c r="Y87" s="425"/>
      <c r="Z87" s="423">
        <f>IF(AND(U90&gt;0,U90&lt;&gt;U80),Z86/$H$2*Z81,Z86)</f>
        <v>0</v>
      </c>
      <c r="AA87" s="425"/>
      <c r="AB87" s="423">
        <f>IF(AND($AE$79&gt;30,AB78&gt;0,AD79&gt;0),AB80/30*(AB79-1),IF(AND($AE$79&gt;30,AB78&gt;0,Z79&gt;0),AB80/30*(AB79-1),AB86))</f>
        <v>0</v>
      </c>
      <c r="AC87" s="425"/>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row>
    <row r="88" spans="1:64" ht="20.100000000000001" hidden="1" customHeight="1">
      <c r="A88" s="405"/>
      <c r="B88" s="359"/>
      <c r="C88" s="378"/>
      <c r="D88" s="340"/>
      <c r="E88" s="340"/>
      <c r="F88" s="424"/>
      <c r="G88" s="338"/>
      <c r="H88" s="338"/>
      <c r="I88" s="339"/>
      <c r="J88" s="402"/>
      <c r="M88" s="425"/>
      <c r="P88" s="425"/>
      <c r="S88" s="425"/>
      <c r="V88" s="425"/>
      <c r="Y88" s="425"/>
      <c r="Z88" s="423">
        <f>IF(AND(U90&gt;0,X90&gt;0),Z86,IF(AND(U90&gt;0,AE79=31,Z78&gt;0),Z86,IF(AND(U90&gt;0,AE79=30,Z77&gt;0),Z86,IF(AND(U90&gt;0,AE79=28,I2="Februar",Z75&gt;0),Z86,Z87))))</f>
        <v>0</v>
      </c>
      <c r="AA88" s="425"/>
      <c r="AB88" s="406">
        <f>MIN(AB85,AB87)</f>
        <v>0</v>
      </c>
      <c r="AC88" s="425"/>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row>
    <row r="89" spans="1:64" ht="20.100000000000001" hidden="1" customHeight="1">
      <c r="A89" s="405"/>
      <c r="B89" s="359"/>
      <c r="C89" s="378"/>
      <c r="D89" s="340"/>
      <c r="E89" s="340"/>
      <c r="F89" s="424"/>
      <c r="G89" s="338"/>
      <c r="H89" s="338"/>
      <c r="I89" s="339"/>
      <c r="J89" s="402"/>
      <c r="M89" s="425"/>
      <c r="P89" s="425"/>
      <c r="Q89" s="425"/>
      <c r="S89" s="425"/>
      <c r="V89" s="425"/>
      <c r="Y89" s="425"/>
      <c r="Z89" s="423">
        <f>IF(AND(L90&gt;0,U90&gt;0,L84&lt;L79),Z80/30*Z79,IF(AND(L90&gt;0,U90&gt;0,U84&lt;U79),Z80/30*Z79,IF(AND(L90&gt;0,U90&gt;0,L84=L79,U84=U79),Z80/30*Z85,Z88)))</f>
        <v>0</v>
      </c>
      <c r="AA89" s="425"/>
      <c r="AC89" s="425"/>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row>
    <row r="90" spans="1:64" ht="20.100000000000001" hidden="1" customHeight="1">
      <c r="A90" s="405"/>
      <c r="B90" s="359"/>
      <c r="C90" s="378"/>
      <c r="D90" s="340"/>
      <c r="E90" s="340"/>
      <c r="F90" s="424"/>
      <c r="G90" s="338"/>
      <c r="H90" s="338"/>
      <c r="I90" s="339"/>
      <c r="J90" s="402"/>
      <c r="L90" s="425">
        <f>IF(L79=0,0,L80/$H$2*L85)</f>
        <v>0</v>
      </c>
      <c r="M90" s="425"/>
      <c r="O90" s="425">
        <f>IF(O84&gt;O80,O80/$H$2*O82,O86)</f>
        <v>0</v>
      </c>
      <c r="P90" s="425"/>
      <c r="Q90" s="425"/>
      <c r="R90" s="425">
        <f>IF(OR(Z86&gt;137.51,R79=0),0,R80/$H$2*R84)</f>
        <v>0</v>
      </c>
      <c r="S90" s="425"/>
      <c r="U90" s="425">
        <f>IF(U79=0,0,U80/$H$2*U85)</f>
        <v>0</v>
      </c>
      <c r="V90" s="425"/>
      <c r="X90" s="425">
        <f>IF(X79=0,0,X80/$H$2*X84)</f>
        <v>0</v>
      </c>
      <c r="Y90" s="425"/>
      <c r="Z90" s="426">
        <f>IF(AND($AE$79&gt;30,Z78&gt;0,X79&gt;0,R79&gt;0),Z80/30*(Z79-1),Z89)</f>
        <v>0</v>
      </c>
      <c r="AA90" s="425"/>
      <c r="AB90" s="427">
        <f>IF(AB86+Z89&gt;AB80,AB88,AB87)</f>
        <v>0</v>
      </c>
      <c r="AC90" s="425"/>
      <c r="AD90" s="426">
        <f>IF(AND(AB48=0,AB90&gt;0),AD83/$H$2*AD81,AD84)</f>
        <v>0</v>
      </c>
      <c r="AE90" s="428">
        <f>IF(Z89=Z80,Z89,SUM(L90:AD90))</f>
        <v>0</v>
      </c>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row>
    <row r="91" spans="1:64" ht="20.100000000000001" customHeight="1">
      <c r="A91" s="358" t="s">
        <v>164</v>
      </c>
      <c r="B91" s="359"/>
      <c r="C91" s="1683">
        <f>Zusatzeingaben!C91</f>
        <v>0</v>
      </c>
      <c r="D91" s="1683">
        <f>Zusatzeingaben!D91</f>
        <v>0</v>
      </c>
      <c r="E91" s="1683">
        <f>Zusatzeingaben!E91</f>
        <v>0</v>
      </c>
      <c r="F91" s="1683">
        <f>Zusatzeingaben!F91</f>
        <v>0</v>
      </c>
      <c r="G91" s="1683">
        <f>Zusatzeingaben!G91</f>
        <v>0</v>
      </c>
      <c r="H91" s="1683">
        <f>Zusatzeingaben!H91</f>
        <v>0</v>
      </c>
      <c r="I91" s="1684">
        <f>Zusatzeingaben!I91</f>
        <v>0</v>
      </c>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row>
    <row r="92" spans="1:64" ht="16.5" hidden="1">
      <c r="A92" s="358"/>
      <c r="B92" s="359"/>
      <c r="C92" s="378">
        <f>IF(C91="ja",C23*35/100,0)</f>
        <v>0</v>
      </c>
      <c r="D92" s="378">
        <f>IF(D91="ja",D23*35/100,0)</f>
        <v>0</v>
      </c>
      <c r="E92" s="378">
        <f>IF(AND(E18&gt;14,E91="ja"),E33*35/100,0)</f>
        <v>0</v>
      </c>
      <c r="F92" s="378">
        <f>IF(AND(F18&gt;14,F91="ja"),F33*35/100,0)</f>
        <v>0</v>
      </c>
      <c r="G92" s="378">
        <f>IF(AND(G18&gt;14,G91="ja"),G33*35/100,0)</f>
        <v>0</v>
      </c>
      <c r="H92" s="378">
        <f>IF(AND(H18&gt;14,H91="ja"),H33*35/100,0)</f>
        <v>0</v>
      </c>
      <c r="I92" s="429">
        <f>IF(AND(I18&gt;14,I91="ja"),I33*35/100,0)</f>
        <v>0</v>
      </c>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row>
    <row r="93" spans="1:64" ht="18.75" customHeight="1">
      <c r="A93" s="430" t="s">
        <v>165</v>
      </c>
      <c r="B93" s="359"/>
      <c r="C93" s="457">
        <f>Zusatzeingaben!C93</f>
        <v>0</v>
      </c>
      <c r="D93" s="457">
        <f>Zusatzeingaben!D93</f>
        <v>0</v>
      </c>
      <c r="E93" s="457">
        <f>Zusatzeingaben!E93</f>
        <v>0</v>
      </c>
      <c r="F93" s="457">
        <f>Zusatzeingaben!F93</f>
        <v>0</v>
      </c>
      <c r="G93" s="457">
        <f>Zusatzeingaben!G93</f>
        <v>0</v>
      </c>
      <c r="H93" s="457">
        <f>Zusatzeingaben!H93</f>
        <v>0</v>
      </c>
      <c r="I93" s="529">
        <f>Zusatzeingaben!I93</f>
        <v>0</v>
      </c>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row>
    <row r="94" spans="1:64" ht="20.100000000000001" customHeight="1">
      <c r="A94" s="102" t="s">
        <v>2341</v>
      </c>
      <c r="B94" s="359"/>
      <c r="C94" s="457">
        <f>Zusatzeingaben!C94</f>
        <v>0</v>
      </c>
      <c r="D94" s="457">
        <f>Zusatzeingaben!D94</f>
        <v>0</v>
      </c>
      <c r="E94" s="457">
        <f>Zusatzeingaben!E94</f>
        <v>0</v>
      </c>
      <c r="F94" s="457">
        <f>Zusatzeingaben!F94</f>
        <v>0</v>
      </c>
      <c r="G94" s="457">
        <f>Zusatzeingaben!G94</f>
        <v>0</v>
      </c>
      <c r="H94" s="457">
        <f>Zusatzeingaben!H94</f>
        <v>0</v>
      </c>
      <c r="I94" s="529">
        <f>Zusatzeingaben!I94</f>
        <v>0</v>
      </c>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row>
    <row r="95" spans="1:64" ht="20.100000000000001" customHeight="1">
      <c r="A95" s="358" t="s">
        <v>2342</v>
      </c>
      <c r="B95" s="1685" t="str">
        <f>Zusatzeingaben!B95</f>
        <v>Nein</v>
      </c>
      <c r="C95" s="1686">
        <f>C33*2.3/100</f>
        <v>9.407</v>
      </c>
      <c r="D95" s="1686">
        <f>IF(AND(D22=17,D18=18),D25*2.3/100+D26*1.4/100,0)</f>
        <v>0</v>
      </c>
      <c r="E95" s="1686">
        <f>IF(AND(E18=6,E16=5),E25*0.012+E26*0.008,IF(AND(E18=14,E16=13),E25*0.014+E26*0.012,IF(AND(E18=18,E16=17),E25*0.023+E26*0.014,IF(E18&gt;24,E33*0.023,0))))</f>
        <v>0</v>
      </c>
      <c r="F95" s="1686">
        <f>IF(AND(F18=6,F16=5),F25*0.012+F26*0.008,IF(AND(F18=14,F16=13),F25*0.014+F26*0.012,IF(AND(F18=18,F16=17),F25*0.023+F26*0.014,IF(F18&gt;24,F33*0.023,0))))</f>
        <v>0</v>
      </c>
      <c r="G95" s="1686">
        <f>IF(AND(G18=6,G16=5),G25*0.012+G26*0.008,IF(AND(G18=14,G16=13),G25*0.014+G26*0.012,IF(AND(G18=18,G16=17),G25*0.023+G26*0.014,IF(G18&gt;24,G33*0.023,0))))</f>
        <v>0</v>
      </c>
      <c r="H95" s="1686">
        <f>IF(AND(H18=6,H16=5),H25*0.012+H26*0.008,IF(AND(H18=14,H16=13),H25*0.014+H26*0.012,IF(AND(H18=18,H16=17),H25*0.023+H26*0.014,IF(H18&gt;24,H33*0.023,0))))</f>
        <v>0</v>
      </c>
      <c r="I95" s="1687">
        <f>IF(AND(I18=6,I16=5),I25*0.012+I26*0.008,IF(AND(I18=14,I16=13),I25*0.014+I26*0.012,IF(AND(I18=18,I16=17),I25*0.023+I26*0.014,IF(I18&gt;24,I33*0.023,0))))</f>
        <v>0</v>
      </c>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row>
    <row r="96" spans="1:64" ht="20.100000000000001" hidden="1" customHeight="1">
      <c r="A96" s="438"/>
      <c r="B96" s="439"/>
      <c r="C96" s="440"/>
      <c r="D96" s="440">
        <f>IF(D22&gt;17,D33*2.3/100,D95)</f>
        <v>0</v>
      </c>
      <c r="E96" s="440">
        <f>IF(E33=0,0,IF(E33&lt;224,E33*0.008,IF(AND(E16&lt;6,E18&lt;6),E23*0.8/100,IF(AND(E16&lt;14,E18&lt;14),E23*1.2/100,IF(AND(E16&lt;18,E18&lt;18),E23*1.4/100,E23*2.3/100)))))</f>
        <v>0</v>
      </c>
      <c r="F96" s="440">
        <f>IF(F33=0,0,IF(F33&lt;224,F33*0.008,IF(AND(F16&lt;6,F18&lt;6),F23*0.8/100,IF(AND(F16&lt;14,F18&lt;14),F23*1.2/100,IF(AND(F16&lt;18,F18&lt;18),F23*1.4/100,F23*2.3/100)))))</f>
        <v>0</v>
      </c>
      <c r="G96" s="440">
        <f>IF(G33=0,0,IF(G33&lt;224,G33*0.008,IF(AND(G16&lt;6,G18&lt;6),G23*0.8/100,IF(AND(G16&lt;14,G18&lt;14),G23*1.2/100,IF(AND(G16&lt;18,G18&lt;18),G23*1.4/100,G23*2.3/100)))))</f>
        <v>0</v>
      </c>
      <c r="H96" s="440">
        <f>IF(H33=0,0,IF(H33&lt;224,H33*0.008,IF(AND(H16&lt;6,H18&lt;6),H23*0.8/100,IF(AND(H16&lt;14,H18&lt;14),H23*1.2/100,IF(AND(H16&lt;18,H18&lt;18),H23*1.4/100,H23*2.3/100)))))</f>
        <v>0</v>
      </c>
      <c r="I96" s="441">
        <f>IF(I33=0,0,IF(I33&lt;224,I33*0.008,IF(AND(I16&lt;6,I18&lt;6),I23*0.8/100,IF(AND(I16&lt;14,I18&lt;14),I23*1.2/100,IF(AND(I16&lt;18,I18&lt;18),I23*1.4/100,I23*2.3/100)))))</f>
        <v>0</v>
      </c>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row>
    <row r="97" spans="1:64" ht="20.100000000000001" hidden="1" customHeight="1">
      <c r="A97" s="438"/>
      <c r="B97" s="439"/>
      <c r="C97" s="440"/>
      <c r="D97" s="440"/>
      <c r="E97" s="440">
        <f>IF(E95&gt;0,E95,E96)</f>
        <v>0</v>
      </c>
      <c r="F97" s="440">
        <f>IF(F95&gt;0,F95,F96)</f>
        <v>0</v>
      </c>
      <c r="G97" s="440">
        <f>IF(G95&gt;0,G95,G96)</f>
        <v>0</v>
      </c>
      <c r="H97" s="440">
        <f>IF(H95&gt;0,H95,H96)</f>
        <v>0</v>
      </c>
      <c r="I97" s="441">
        <f>IF(I95&gt;0,I95,I96)</f>
        <v>0</v>
      </c>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row>
    <row r="98" spans="1:64" ht="16.5" hidden="1">
      <c r="A98" s="438"/>
      <c r="B98" s="442"/>
      <c r="C98" s="433">
        <f>IF(B95="ja",C95,0)</f>
        <v>0</v>
      </c>
      <c r="D98" s="433">
        <f>IF(B95="ja",D96,0)</f>
        <v>0</v>
      </c>
      <c r="E98" s="433">
        <f>IF(B95="ja",E97,0)</f>
        <v>0</v>
      </c>
      <c r="F98" s="433">
        <f>IF(B95="ja",F97,0)</f>
        <v>0</v>
      </c>
      <c r="G98" s="433">
        <f>IF(B95="ja",G97,0)</f>
        <v>0</v>
      </c>
      <c r="H98" s="433">
        <f>IF(B95="ja",H97,0)</f>
        <v>0</v>
      </c>
      <c r="I98" s="443">
        <f>IF(B95="ja",I97,0)</f>
        <v>0</v>
      </c>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row>
    <row r="99" spans="1:64" ht="20.100000000000001" customHeight="1">
      <c r="A99" s="444" t="s">
        <v>168</v>
      </c>
      <c r="B99" s="445"/>
      <c r="C99" s="1688">
        <f>Zusatzeingaben!C99</f>
        <v>0</v>
      </c>
      <c r="D99" s="1688">
        <f>Zusatzeingaben!D99</f>
        <v>0</v>
      </c>
      <c r="E99" s="1688">
        <f>Zusatzeingaben!E99</f>
        <v>0</v>
      </c>
      <c r="F99" s="1688">
        <f>Zusatzeingaben!F99</f>
        <v>0</v>
      </c>
      <c r="G99" s="1688">
        <f>Zusatzeingaben!G99</f>
        <v>0</v>
      </c>
      <c r="H99" s="1688">
        <f>Zusatzeingaben!H99</f>
        <v>0</v>
      </c>
      <c r="I99" s="1689">
        <f>Zusatzeingaben!I99</f>
        <v>0</v>
      </c>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row>
    <row r="100" spans="1:64" ht="16.5" hidden="1">
      <c r="A100" s="448"/>
      <c r="B100" s="449"/>
      <c r="C100" s="450">
        <f t="shared" ref="C100:I100" si="28">IF(AND(C18&gt;14,C99="ja"),C33*17/100,0)</f>
        <v>0</v>
      </c>
      <c r="D100" s="450">
        <f t="shared" si="28"/>
        <v>0</v>
      </c>
      <c r="E100" s="450">
        <f t="shared" si="28"/>
        <v>0</v>
      </c>
      <c r="F100" s="450">
        <f t="shared" si="28"/>
        <v>0</v>
      </c>
      <c r="G100" s="450">
        <f t="shared" si="28"/>
        <v>0</v>
      </c>
      <c r="H100" s="450">
        <f t="shared" si="28"/>
        <v>0</v>
      </c>
      <c r="I100" s="451">
        <f t="shared" si="28"/>
        <v>0</v>
      </c>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row>
    <row r="101" spans="1:64" ht="26.25" customHeight="1">
      <c r="A101" s="452" t="s">
        <v>169</v>
      </c>
      <c r="B101" s="453" t="s">
        <v>141</v>
      </c>
      <c r="C101" s="928"/>
      <c r="D101" s="928"/>
      <c r="E101" s="928"/>
      <c r="F101" s="928"/>
      <c r="G101" s="928"/>
      <c r="H101" s="928"/>
      <c r="I101" s="929"/>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row>
    <row r="102" spans="1:64" ht="20.100000000000001" customHeight="1">
      <c r="A102" s="456" t="str">
        <f>Zusatzeingaben!A102</f>
        <v>Kaltmiete/Zinsbelastung</v>
      </c>
      <c r="B102" s="457">
        <f>Zusatzeingaben!B102</f>
        <v>0</v>
      </c>
      <c r="C102" s="1690">
        <f>B102/C5*B6</f>
        <v>0</v>
      </c>
      <c r="D102" s="338"/>
      <c r="E102" s="338"/>
      <c r="F102" s="338"/>
      <c r="G102" s="338"/>
      <c r="H102" s="338"/>
      <c r="I102" s="339"/>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row>
    <row r="103" spans="1:64" ht="20.100000000000001" hidden="1" customHeight="1">
      <c r="A103" s="456" t="s">
        <v>171</v>
      </c>
      <c r="B103" s="457"/>
      <c r="C103" s="1690">
        <f>B103/C5*B6</f>
        <v>0</v>
      </c>
      <c r="D103" s="338"/>
      <c r="E103" s="338"/>
      <c r="F103" s="338"/>
      <c r="G103" s="338"/>
      <c r="H103" s="338"/>
      <c r="I103" s="339"/>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row>
    <row r="104" spans="1:64" ht="20.100000000000001" customHeight="1">
      <c r="A104" s="1691">
        <f>Zusatzeingaben!A104</f>
        <v>0</v>
      </c>
      <c r="B104" s="935">
        <f>Zusatzeingaben!B104</f>
        <v>0</v>
      </c>
      <c r="C104" s="1690">
        <f>IF(B102+B105+B106+B115&gt;0,B104/C5*B6,0)</f>
        <v>0</v>
      </c>
      <c r="D104" s="338"/>
      <c r="E104" s="338"/>
      <c r="F104" s="338"/>
      <c r="G104" s="338"/>
      <c r="H104" s="338"/>
      <c r="I104" s="339"/>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row>
    <row r="105" spans="1:64" ht="20.100000000000001" customHeight="1">
      <c r="A105" s="1691" t="str">
        <f>Zusatzeingaben!A105</f>
        <v>Nebenkosten</v>
      </c>
      <c r="B105" s="935">
        <f>Zusatzeingaben!B105</f>
        <v>0</v>
      </c>
      <c r="C105" s="1690">
        <f>B105/C5*B6</f>
        <v>0</v>
      </c>
      <c r="D105" s="338"/>
      <c r="E105" s="338"/>
      <c r="F105" s="338"/>
      <c r="G105" s="338"/>
      <c r="H105" s="338"/>
      <c r="I105" s="339"/>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row>
    <row r="106" spans="1:64" ht="20.100000000000001" customHeight="1">
      <c r="A106" s="1691">
        <f>Zusatzeingaben!A106</f>
        <v>0</v>
      </c>
      <c r="B106" s="935">
        <f>Zusatzeingaben!B106</f>
        <v>0</v>
      </c>
      <c r="C106" s="1690">
        <f>B106/C5*B6</f>
        <v>0</v>
      </c>
      <c r="D106" s="338"/>
      <c r="E106" s="338"/>
      <c r="F106" s="338"/>
      <c r="G106" s="338"/>
      <c r="H106" s="338"/>
      <c r="I106" s="339"/>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287"/>
      <c r="BF106" s="287"/>
      <c r="BG106" s="287"/>
      <c r="BH106" s="287"/>
      <c r="BI106" s="287"/>
      <c r="BJ106" s="287"/>
      <c r="BK106" s="287"/>
      <c r="BL106" s="287"/>
    </row>
    <row r="107" spans="1:64" ht="20.100000000000001" customHeight="1">
      <c r="A107" s="1692">
        <f>Zusatzeingaben!A107</f>
        <v>0</v>
      </c>
      <c r="B107" s="935">
        <f>Zusatzeingaben!B107</f>
        <v>0</v>
      </c>
      <c r="C107" s="1690">
        <f>IF(B102+B105+B106+B115&gt;0,B107/C5*B6,0)</f>
        <v>0</v>
      </c>
      <c r="D107" s="421"/>
      <c r="E107" s="421"/>
      <c r="F107" s="421"/>
      <c r="G107" s="421"/>
      <c r="H107" s="421"/>
      <c r="I107" s="157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287"/>
      <c r="BJ107" s="287"/>
      <c r="BK107" s="287"/>
      <c r="BL107" s="287"/>
    </row>
    <row r="108" spans="1:64" ht="16.5" hidden="1">
      <c r="A108" s="1693"/>
      <c r="B108" s="543"/>
      <c r="C108" s="338">
        <f>C107/B6</f>
        <v>0</v>
      </c>
      <c r="D108" s="338">
        <f>IF(D21&gt;0,C107/B6,0)</f>
        <v>0</v>
      </c>
      <c r="E108" s="338">
        <f>IF(E33&gt;0,C107/B6,0)</f>
        <v>0</v>
      </c>
      <c r="F108" s="338">
        <f>IF(F33&gt;0,C107/B6,0)</f>
        <v>0</v>
      </c>
      <c r="G108" s="338">
        <f>IF(G33&gt;0,C107/B6,0)</f>
        <v>0</v>
      </c>
      <c r="H108" s="338">
        <f>IF(H33&gt;0,C107/B6,0)</f>
        <v>0</v>
      </c>
      <c r="I108" s="339">
        <f>IF(I33&gt;0,C107/B6,0)</f>
        <v>0</v>
      </c>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287"/>
      <c r="BJ108" s="287"/>
      <c r="BK108" s="287"/>
      <c r="BL108" s="287"/>
    </row>
    <row r="109" spans="1:64" ht="20.100000000000001" hidden="1" customHeight="1">
      <c r="A109" s="1694" t="str">
        <f>Zusatzeingaben!A109</f>
        <v>./. Kostenanteil für Haushaltsstrom (pauschal)</v>
      </c>
      <c r="B109" s="935">
        <f>Zusatzeingaben!B109</f>
        <v>0</v>
      </c>
      <c r="C109" s="466"/>
      <c r="D109" s="421"/>
      <c r="E109" s="421"/>
      <c r="F109" s="421"/>
      <c r="G109" s="421"/>
      <c r="H109" s="421"/>
      <c r="I109" s="157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287"/>
      <c r="BJ109" s="287"/>
      <c r="BK109" s="287"/>
      <c r="BL109" s="287"/>
    </row>
    <row r="110" spans="1:64" ht="16.5" hidden="1">
      <c r="A110" s="1693"/>
      <c r="B110" s="543"/>
      <c r="C110" s="440">
        <f>IF(C24&lt;C23,C33*0.07772,0)</f>
        <v>0</v>
      </c>
      <c r="D110" s="440">
        <f>IF(AND(D22=17,D18=18),D25*0.0775+D26*0.046,0)</f>
        <v>0</v>
      </c>
      <c r="E110" s="440">
        <f>IF(E33=0,0,IF(AND(E16=0,E33&lt;224),E33*0.0247,IF(AND(E18=6,E16=5),E25*0.0405+E26*0.0247,IF(AND(E18=14,E16=13),E25*0.046+E26*0.0405,IF(AND(E18=18,E16=17),E25*0.0772+E26*0.046,IF(E18&gt;24,E33*0.0772,0))))))</f>
        <v>0</v>
      </c>
      <c r="F110" s="440">
        <f>IF(F33=0,0,IF(AND(F16=0,F33&lt;224),F33*0.0247,IF(AND(F18=6,F16=5),F25*0.0405+F26*0.0247,IF(AND(F18=14,F16=13),F25*0.046+F26*0.0405,IF(AND(F18=18,F16=17),F25*0.0772+F26*0.046,IF(F18&gt;24,F33*0.0772,0))))))</f>
        <v>0</v>
      </c>
      <c r="G110" s="440">
        <f>IF(G33=0,0,IF(AND(G16=0,G33&lt;224),G33*0.0247,IF(AND(G18=6,G16=5),G25*0.0405+G26*0.0247,IF(AND(G18=14,G16=13),G25*0.046+G26*0.0405,IF(AND(G18=18,G16=17),G25*0.0772+G26*0.046,IF(G18&gt;24,G33*0.0772,0))))))</f>
        <v>0</v>
      </c>
      <c r="H110" s="440">
        <f>IF(H33=0,0,IF(AND(H16=0,H33&lt;224),H33*0.0247,IF(AND(H18=6,H16=5),H25*0.0405+H26*0.0247,IF(AND(H18=14,H16=13),H25*0.046+H26*0.0405,IF(AND(H18=18,H16=17),H25*0.0772+H26*0.046,IF(H18&gt;24,H33*0.0772,0))))))</f>
        <v>0</v>
      </c>
      <c r="I110" s="440">
        <f>IF(I33=0,0,IF(AND(I16=0,I33&lt;224),I33*0.0247,IF(AND(I18=6,I16=5),I25*0.0405+I26*0.0247,IF(AND(I18=14,I16=13),I25*0.046+I26*0.0405,IF(AND(I18=18,I16=17),I25*0.0772+I26*0.046,IF(I18&gt;24,I33*0.0772,0))))))</f>
        <v>0</v>
      </c>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c r="BC110" s="287"/>
      <c r="BD110" s="287"/>
      <c r="BE110" s="287"/>
      <c r="BF110" s="287"/>
      <c r="BG110" s="287"/>
      <c r="BH110" s="287"/>
      <c r="BI110" s="287"/>
      <c r="BJ110" s="287"/>
      <c r="BK110" s="287"/>
      <c r="BL110" s="287"/>
    </row>
    <row r="111" spans="1:64" ht="16.5" hidden="1">
      <c r="A111" s="1693"/>
      <c r="B111" s="543"/>
      <c r="C111" s="473">
        <f>VLOOKUP(C23,Bedarfssätze!B70:C87,2)</f>
        <v>31.01</v>
      </c>
      <c r="D111" s="473" t="e">
        <f>VLOOKUP(D23,Bedarfssätze!B70:C87,2)</f>
        <v>#N/A</v>
      </c>
      <c r="E111" s="473" t="e">
        <f>VLOOKUP(E23,Bedarfssätze!B70:C87,2)</f>
        <v>#N/A</v>
      </c>
      <c r="F111" s="473" t="e">
        <f>VLOOKUP(F23,Bedarfssätze!B70:C87,2)</f>
        <v>#N/A</v>
      </c>
      <c r="G111" s="473" t="e">
        <f>VLOOKUP(G23,Bedarfssätze!B70:C87,2)</f>
        <v>#N/A</v>
      </c>
      <c r="H111" s="473" t="e">
        <f>VLOOKUP(H23,Bedarfssätze!B70:C87,2)</f>
        <v>#N/A</v>
      </c>
      <c r="I111" s="1695" t="e">
        <f>VLOOKUP(I23,Bedarfssätze!B70:C87,2)</f>
        <v>#N/A</v>
      </c>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row>
    <row r="112" spans="1:64" ht="16.5" hidden="1">
      <c r="A112" s="1693"/>
      <c r="B112" s="543"/>
      <c r="C112" s="440">
        <f>IF(AND(D110=0,C111&gt;C110),C111,C110)</f>
        <v>31.01</v>
      </c>
      <c r="D112" s="440" t="e">
        <f t="shared" ref="D112:I112" si="29">IF(D110&gt;0,D110,D111)</f>
        <v>#N/A</v>
      </c>
      <c r="E112" s="440" t="e">
        <f t="shared" si="29"/>
        <v>#N/A</v>
      </c>
      <c r="F112" s="440" t="e">
        <f t="shared" si="29"/>
        <v>#N/A</v>
      </c>
      <c r="G112" s="440" t="e">
        <f t="shared" si="29"/>
        <v>#N/A</v>
      </c>
      <c r="H112" s="440" t="e">
        <f t="shared" si="29"/>
        <v>#N/A</v>
      </c>
      <c r="I112" s="440" t="e">
        <f t="shared" si="29"/>
        <v>#N/A</v>
      </c>
    </row>
    <row r="113" spans="1:64" ht="15.75" hidden="1">
      <c r="A113" s="1693"/>
      <c r="B113" s="543"/>
      <c r="C113" s="338">
        <f>IF(AND(B102+B105+B106+B115&gt;0,B109="ja"),C112,0)</f>
        <v>0</v>
      </c>
      <c r="D113" s="338">
        <f>IF(AND(B102+B105+B106+B115&gt;0,D21&gt;0,B109="ja"),D112,0)</f>
        <v>0</v>
      </c>
      <c r="E113" s="338">
        <f>IF(AND($B$102+$B$105+$B$106+$B$115&gt;0,E33&gt;0,$B$109="ja"),E112,0)</f>
        <v>0</v>
      </c>
      <c r="F113" s="338">
        <f>IF(AND($B$102+$B$105+$B$106+$B$115&gt;0,F33&gt;0,$B$109="ja"),F112,0)</f>
        <v>0</v>
      </c>
      <c r="G113" s="338">
        <f>IF(AND($B$102+$B$105+$B$106+$B$115&gt;0,G33&gt;0,$B$109="ja"),G112,0)</f>
        <v>0</v>
      </c>
      <c r="H113" s="338">
        <f>IF(AND($B$102+$B$105+$B$106+$B$115&gt;0,H33&gt;0,$B$109="ja"),H112,0)</f>
        <v>0</v>
      </c>
      <c r="I113" s="338">
        <f>IF(AND($B$102+$B$105+$B$106+$B$115&gt;0,I33&gt;0,$B$109="ja"),I112,0)</f>
        <v>0</v>
      </c>
    </row>
    <row r="114" spans="1:64" ht="15.75" hidden="1">
      <c r="A114" s="1693"/>
      <c r="B114" s="543"/>
      <c r="C114" s="1696">
        <f t="shared" ref="C114:I114" si="30">C108+C113</f>
        <v>0</v>
      </c>
      <c r="D114" s="1696">
        <f t="shared" si="30"/>
        <v>0</v>
      </c>
      <c r="E114" s="1696">
        <f t="shared" si="30"/>
        <v>0</v>
      </c>
      <c r="F114" s="1696">
        <f t="shared" si="30"/>
        <v>0</v>
      </c>
      <c r="G114" s="1696">
        <f t="shared" si="30"/>
        <v>0</v>
      </c>
      <c r="H114" s="1696">
        <f t="shared" si="30"/>
        <v>0</v>
      </c>
      <c r="I114" s="1697">
        <f t="shared" si="30"/>
        <v>0</v>
      </c>
    </row>
    <row r="115" spans="1:64" ht="20.100000000000001" customHeight="1">
      <c r="A115" s="1698" t="str">
        <f>Zusatzeingaben!A115</f>
        <v>Heizkosten</v>
      </c>
      <c r="B115" s="1699">
        <f>Zusatzeingaben!B115</f>
        <v>0</v>
      </c>
      <c r="C115" s="1700">
        <f>B115/C5*B6</f>
        <v>0</v>
      </c>
      <c r="D115" s="1701"/>
      <c r="E115" s="1701"/>
      <c r="F115" s="1701"/>
      <c r="G115" s="1701"/>
      <c r="H115" s="1701"/>
      <c r="I115" s="1702"/>
    </row>
    <row r="116" spans="1:64" ht="18">
      <c r="A116" s="1703" t="s">
        <v>173</v>
      </c>
      <c r="B116" s="453" t="s">
        <v>141</v>
      </c>
      <c r="C116" s="928"/>
      <c r="D116" s="928"/>
      <c r="E116" s="928"/>
      <c r="F116" s="928"/>
      <c r="G116" s="928"/>
      <c r="H116" s="928"/>
      <c r="I116" s="929"/>
    </row>
    <row r="117" spans="1:64" ht="20.100000000000001" customHeight="1">
      <c r="A117" s="481" t="str">
        <f>Zusatzeingaben!A117</f>
        <v>z.B. freiwilliger KV/PV-Beitrag bei Ablehnung</v>
      </c>
      <c r="B117" s="445"/>
      <c r="C117" s="482">
        <f>Zusatzeingaben!C117</f>
        <v>0</v>
      </c>
      <c r="D117" s="482">
        <f>Zusatzeingaben!D117</f>
        <v>0</v>
      </c>
      <c r="E117" s="482">
        <f>Zusatzeingaben!E117</f>
        <v>0</v>
      </c>
      <c r="F117" s="482">
        <f>Zusatzeingaben!F117</f>
        <v>0</v>
      </c>
      <c r="G117" s="482">
        <f>Zusatzeingaben!G117</f>
        <v>0</v>
      </c>
      <c r="H117" s="482">
        <f>Zusatzeingaben!H117</f>
        <v>0</v>
      </c>
      <c r="I117" s="532">
        <f>Zusatzeingaben!I117</f>
        <v>0</v>
      </c>
    </row>
    <row r="118" spans="1:64">
      <c r="C118" s="487"/>
      <c r="D118" s="487"/>
      <c r="E118" s="487"/>
      <c r="F118" s="487"/>
      <c r="G118" s="487"/>
      <c r="H118" s="487"/>
    </row>
    <row r="119" spans="1:64" ht="20.25">
      <c r="A119" s="1657"/>
      <c r="B119" s="1658" t="s">
        <v>2343</v>
      </c>
      <c r="C119" s="1659"/>
      <c r="D119" s="1659"/>
      <c r="E119" s="1659"/>
      <c r="F119" s="1659"/>
      <c r="G119" s="1659"/>
      <c r="H119" s="1659"/>
      <c r="I119" s="1660"/>
    </row>
    <row r="120" spans="1:64" ht="21.95" customHeight="1">
      <c r="A120" s="488" t="s">
        <v>176</v>
      </c>
      <c r="B120" s="489" t="s">
        <v>141</v>
      </c>
      <c r="C120" s="489" t="str">
        <f>C4</f>
        <v>Antragsteller</v>
      </c>
      <c r="D120" s="489" t="str">
        <f>D4</f>
        <v>Partner(in)</v>
      </c>
      <c r="E120" s="489" t="str">
        <f>E4</f>
        <v>Kind 1</v>
      </c>
      <c r="F120" s="489" t="s">
        <v>145</v>
      </c>
      <c r="G120" s="489" t="s">
        <v>146</v>
      </c>
      <c r="H120" s="489" t="s">
        <v>147</v>
      </c>
      <c r="I120" s="490" t="s">
        <v>148</v>
      </c>
    </row>
    <row r="121" spans="1:64" ht="20.100000000000001" customHeight="1">
      <c r="A121" s="491" t="s">
        <v>177</v>
      </c>
      <c r="B121" s="1704"/>
      <c r="C121" s="1704"/>
      <c r="D121" s="1704"/>
      <c r="E121" s="1704"/>
      <c r="F121" s="1704"/>
      <c r="G121" s="1704"/>
      <c r="H121" s="1704"/>
      <c r="I121" s="1705"/>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row>
    <row r="122" spans="1:64" ht="20.100000000000001" customHeight="1">
      <c r="A122" s="495" t="s">
        <v>2344</v>
      </c>
      <c r="B122" s="496"/>
      <c r="C122" s="1706">
        <f>Zusatzeingaben!C122</f>
        <v>21</v>
      </c>
      <c r="D122" s="1706">
        <f>Zusatzeingaben!D122</f>
        <v>21</v>
      </c>
      <c r="E122" s="1706">
        <f>Zusatzeingaben!E122</f>
        <v>21</v>
      </c>
      <c r="F122" s="1706">
        <f>Zusatzeingaben!F122</f>
        <v>21</v>
      </c>
      <c r="G122" s="1706">
        <f>Zusatzeingaben!G122</f>
        <v>21</v>
      </c>
      <c r="H122" s="1706">
        <f>Zusatzeingaben!H122</f>
        <v>21</v>
      </c>
      <c r="I122" s="1707">
        <f>Zusatzeingaben!I122</f>
        <v>21</v>
      </c>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row>
    <row r="123" spans="1:64" ht="20.100000000000001" customHeight="1">
      <c r="A123" s="498" t="s">
        <v>179</v>
      </c>
      <c r="B123" s="359"/>
      <c r="C123" s="1708">
        <f>Zusatzeingaben!C123</f>
        <v>0</v>
      </c>
      <c r="D123" s="1708">
        <f>Zusatzeingaben!D123</f>
        <v>0</v>
      </c>
      <c r="E123" s="1708">
        <f>Zusatzeingaben!E123</f>
        <v>0</v>
      </c>
      <c r="F123" s="1708">
        <f>Zusatzeingaben!F123</f>
        <v>0</v>
      </c>
      <c r="G123" s="1708">
        <f>Zusatzeingaben!G123</f>
        <v>0</v>
      </c>
      <c r="H123" s="1708">
        <f>Zusatzeingaben!H123</f>
        <v>0</v>
      </c>
      <c r="I123" s="1709">
        <f>Zusatzeingaben!I123</f>
        <v>0</v>
      </c>
    </row>
    <row r="124" spans="1:64" ht="20.100000000000001" hidden="1" customHeight="1">
      <c r="A124" s="1710" t="s">
        <v>180</v>
      </c>
      <c r="B124" s="359"/>
      <c r="C124" s="501">
        <f t="shared" ref="C124:I124" si="31">C123*6</f>
        <v>0</v>
      </c>
      <c r="D124" s="501">
        <f t="shared" si="31"/>
        <v>0</v>
      </c>
      <c r="E124" s="501">
        <f t="shared" si="31"/>
        <v>0</v>
      </c>
      <c r="F124" s="501">
        <f t="shared" si="31"/>
        <v>0</v>
      </c>
      <c r="G124" s="501">
        <f t="shared" si="31"/>
        <v>0</v>
      </c>
      <c r="H124" s="501">
        <f t="shared" si="31"/>
        <v>0</v>
      </c>
      <c r="I124" s="502">
        <f t="shared" si="31"/>
        <v>0</v>
      </c>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row>
    <row r="125" spans="1:64" ht="20.100000000000001" customHeight="1">
      <c r="A125" s="1711" t="s">
        <v>2345</v>
      </c>
      <c r="B125" s="359"/>
      <c r="C125" s="1712">
        <f>Zusatzeingaben!C125</f>
        <v>0</v>
      </c>
      <c r="D125" s="1712">
        <f>Zusatzeingaben!D125</f>
        <v>0</v>
      </c>
      <c r="E125" s="1712">
        <f>Zusatzeingaben!E125</f>
        <v>0</v>
      </c>
      <c r="F125" s="1712">
        <f>Zusatzeingaben!F125</f>
        <v>0</v>
      </c>
      <c r="G125" s="1712">
        <f>Zusatzeingaben!G125</f>
        <v>0</v>
      </c>
      <c r="H125" s="1712">
        <f>Zusatzeingaben!H125</f>
        <v>0</v>
      </c>
      <c r="I125" s="1713">
        <f>Zusatzeingaben!I125</f>
        <v>0</v>
      </c>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287"/>
      <c r="BJ125" s="287"/>
      <c r="BK125" s="287"/>
      <c r="BL125" s="287"/>
    </row>
    <row r="126" spans="1:64" ht="20.100000000000001" hidden="1" customHeight="1">
      <c r="A126" s="1714" t="s">
        <v>181</v>
      </c>
      <c r="B126" s="359"/>
      <c r="C126" s="522">
        <f t="shared" ref="C126:I126" si="32">C122*C125*0.2</f>
        <v>0</v>
      </c>
      <c r="D126" s="522">
        <f t="shared" si="32"/>
        <v>0</v>
      </c>
      <c r="E126" s="522">
        <f t="shared" si="32"/>
        <v>0</v>
      </c>
      <c r="F126" s="522">
        <f t="shared" si="32"/>
        <v>0</v>
      </c>
      <c r="G126" s="522">
        <f t="shared" si="32"/>
        <v>0</v>
      </c>
      <c r="H126" s="522">
        <f t="shared" si="32"/>
        <v>0</v>
      </c>
      <c r="I126" s="523">
        <f t="shared" si="32"/>
        <v>0</v>
      </c>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row>
    <row r="127" spans="1:64" ht="20.100000000000001" hidden="1" customHeight="1">
      <c r="A127" s="405"/>
      <c r="B127" s="340"/>
      <c r="C127" s="509">
        <f t="shared" ref="C127:I127" si="33">MAX(C126,C142)</f>
        <v>0</v>
      </c>
      <c r="D127" s="509">
        <f t="shared" si="33"/>
        <v>0</v>
      </c>
      <c r="E127" s="509">
        <f t="shared" si="33"/>
        <v>0</v>
      </c>
      <c r="F127" s="509">
        <f t="shared" si="33"/>
        <v>0</v>
      </c>
      <c r="G127" s="509">
        <f t="shared" si="33"/>
        <v>0</v>
      </c>
      <c r="H127" s="509">
        <f t="shared" si="33"/>
        <v>0</v>
      </c>
      <c r="I127" s="510">
        <f t="shared" si="33"/>
        <v>0</v>
      </c>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row>
    <row r="128" spans="1:64" ht="20.100000000000001" customHeight="1">
      <c r="A128" s="511" t="s">
        <v>2167</v>
      </c>
      <c r="B128" s="541"/>
      <c r="C128" s="1715">
        <f>Zusatzeingaben!C128</f>
        <v>0</v>
      </c>
      <c r="D128" s="1715">
        <f>Zusatzeingaben!D128</f>
        <v>0</v>
      </c>
      <c r="E128" s="1715">
        <f>Zusatzeingaben!E128</f>
        <v>0</v>
      </c>
      <c r="F128" s="1715">
        <f>Zusatzeingaben!F128</f>
        <v>0</v>
      </c>
      <c r="G128" s="1715">
        <f>Zusatzeingaben!G128</f>
        <v>0</v>
      </c>
      <c r="H128" s="1715">
        <f>Zusatzeingaben!H128</f>
        <v>0</v>
      </c>
      <c r="I128" s="1716">
        <f>Zusatzeingaben!I128</f>
        <v>0</v>
      </c>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row>
    <row r="129" spans="1:64" ht="20.100000000000001" customHeight="1">
      <c r="A129" s="1717" t="s">
        <v>2346</v>
      </c>
      <c r="B129" s="359"/>
      <c r="C129" s="465">
        <f>Zusatzeingaben!C129</f>
        <v>0</v>
      </c>
      <c r="D129" s="465">
        <f>Zusatzeingaben!D129</f>
        <v>0</v>
      </c>
      <c r="E129" s="465">
        <f>Zusatzeingaben!E129</f>
        <v>0</v>
      </c>
      <c r="F129" s="465">
        <f>Zusatzeingaben!F129</f>
        <v>0</v>
      </c>
      <c r="G129" s="465">
        <f>Zusatzeingaben!G129</f>
        <v>0</v>
      </c>
      <c r="H129" s="465">
        <f>Zusatzeingaben!H129</f>
        <v>0</v>
      </c>
      <c r="I129" s="434">
        <f>Zusatzeingaben!I129</f>
        <v>0</v>
      </c>
      <c r="J129" s="405"/>
    </row>
    <row r="130" spans="1:64" ht="16.5">
      <c r="A130" s="1718" t="s">
        <v>2347</v>
      </c>
      <c r="B130" s="522"/>
      <c r="C130" s="522">
        <f t="shared" ref="C130:I130" si="34">IF(C129="vollverpflegung",C33*C122*0.01,IF(C129="frühstück",C33*C122*0.002,IF(C129="mittagessen",C33*C122*0.004,IF(C129="abendessen",C33*C122*0.004,0))))</f>
        <v>0</v>
      </c>
      <c r="D130" s="522">
        <f t="shared" si="34"/>
        <v>0</v>
      </c>
      <c r="E130" s="522">
        <f t="shared" si="34"/>
        <v>0</v>
      </c>
      <c r="F130" s="522">
        <f t="shared" si="34"/>
        <v>0</v>
      </c>
      <c r="G130" s="522">
        <f t="shared" si="34"/>
        <v>0</v>
      </c>
      <c r="H130" s="522">
        <f t="shared" si="34"/>
        <v>0</v>
      </c>
      <c r="I130" s="523">
        <f t="shared" si="34"/>
        <v>0</v>
      </c>
    </row>
    <row r="131" spans="1:64" ht="15.75" hidden="1">
      <c r="A131" s="521" t="s">
        <v>183</v>
      </c>
      <c r="B131" s="522"/>
      <c r="C131" s="522">
        <f t="shared" ref="C131:I131" si="35">C128+C130</f>
        <v>0</v>
      </c>
      <c r="D131" s="522">
        <f t="shared" si="35"/>
        <v>0</v>
      </c>
      <c r="E131" s="522">
        <f t="shared" si="35"/>
        <v>0</v>
      </c>
      <c r="F131" s="522">
        <f t="shared" si="35"/>
        <v>0</v>
      </c>
      <c r="G131" s="522">
        <f t="shared" si="35"/>
        <v>0</v>
      </c>
      <c r="H131" s="522">
        <f t="shared" si="35"/>
        <v>0</v>
      </c>
      <c r="I131" s="523">
        <f t="shared" si="35"/>
        <v>0</v>
      </c>
    </row>
    <row r="132" spans="1:64" ht="20.100000000000001" customHeight="1">
      <c r="A132" s="1711" t="s">
        <v>2321</v>
      </c>
      <c r="B132" s="359"/>
      <c r="C132" s="457">
        <f>Zusatzeingaben!C132</f>
        <v>0</v>
      </c>
      <c r="D132" s="457">
        <f>Zusatzeingaben!D132</f>
        <v>0</v>
      </c>
      <c r="E132" s="457">
        <f>Zusatzeingaben!E132</f>
        <v>0</v>
      </c>
      <c r="F132" s="457">
        <f>Zusatzeingaben!F132</f>
        <v>0</v>
      </c>
      <c r="G132" s="457">
        <f>Zusatzeingaben!G132</f>
        <v>0</v>
      </c>
      <c r="H132" s="457">
        <f>Zusatzeingaben!H132</f>
        <v>0</v>
      </c>
      <c r="I132" s="529">
        <f>Zusatzeingaben!I132</f>
        <v>0</v>
      </c>
    </row>
    <row r="133" spans="1:64" ht="15.75" hidden="1">
      <c r="A133" s="525" t="s">
        <v>184</v>
      </c>
      <c r="B133" s="526"/>
      <c r="C133" s="527">
        <f t="shared" ref="C133:I133" si="36">C130+C132</f>
        <v>0</v>
      </c>
      <c r="D133" s="527">
        <f t="shared" si="36"/>
        <v>0</v>
      </c>
      <c r="E133" s="527">
        <f t="shared" si="36"/>
        <v>0</v>
      </c>
      <c r="F133" s="527">
        <f t="shared" si="36"/>
        <v>0</v>
      </c>
      <c r="G133" s="527">
        <f t="shared" si="36"/>
        <v>0</v>
      </c>
      <c r="H133" s="527">
        <f t="shared" si="36"/>
        <v>0</v>
      </c>
      <c r="I133" s="528">
        <f t="shared" si="36"/>
        <v>0</v>
      </c>
    </row>
    <row r="134" spans="1:64" ht="15.75" hidden="1">
      <c r="A134" s="1711" t="s">
        <v>185</v>
      </c>
      <c r="B134" s="359"/>
      <c r="C134" s="457"/>
      <c r="D134" s="457"/>
      <c r="E134" s="457"/>
      <c r="F134" s="457"/>
      <c r="G134" s="457"/>
      <c r="H134" s="457"/>
      <c r="I134" s="529"/>
    </row>
    <row r="135" spans="1:64" ht="15.75" hidden="1">
      <c r="A135" s="503" t="s">
        <v>186</v>
      </c>
      <c r="B135" s="531"/>
      <c r="C135" s="482"/>
      <c r="D135" s="482"/>
      <c r="E135" s="482"/>
      <c r="F135" s="482"/>
      <c r="G135" s="482"/>
      <c r="H135" s="482"/>
      <c r="I135" s="532"/>
    </row>
    <row r="136" spans="1:64" ht="20.100000000000001" customHeight="1">
      <c r="A136" s="1719" t="s">
        <v>187</v>
      </c>
      <c r="B136" s="506"/>
      <c r="C136" s="1720">
        <f>Zusatzeingaben!C136</f>
        <v>0</v>
      </c>
      <c r="D136" s="1720">
        <f>Zusatzeingaben!D136</f>
        <v>0</v>
      </c>
      <c r="E136" s="1720">
        <f>Zusatzeingaben!E136</f>
        <v>0</v>
      </c>
      <c r="F136" s="1720">
        <f>Zusatzeingaben!F136</f>
        <v>0</v>
      </c>
      <c r="G136" s="1720">
        <f>Zusatzeingaben!G136</f>
        <v>0</v>
      </c>
      <c r="H136" s="1720">
        <f>Zusatzeingaben!H136</f>
        <v>0</v>
      </c>
      <c r="I136" s="1721">
        <f>Zusatzeingaben!I136</f>
        <v>0</v>
      </c>
    </row>
    <row r="137" spans="1:64" ht="20.100000000000001" customHeight="1">
      <c r="A137" s="530" t="s">
        <v>2348</v>
      </c>
      <c r="B137" s="445"/>
      <c r="C137" s="482">
        <f>Zusatzeingaben!C137</f>
        <v>0</v>
      </c>
      <c r="D137" s="482">
        <f>Zusatzeingaben!D137</f>
        <v>0</v>
      </c>
      <c r="E137" s="482">
        <f>Zusatzeingaben!E137</f>
        <v>0</v>
      </c>
      <c r="F137" s="482">
        <f>Zusatzeingaben!F137</f>
        <v>0</v>
      </c>
      <c r="G137" s="482">
        <f>Zusatzeingaben!G137</f>
        <v>0</v>
      </c>
      <c r="H137" s="482">
        <f>Zusatzeingaben!H137</f>
        <v>0</v>
      </c>
      <c r="I137" s="532">
        <f>Zusatzeingaben!I137</f>
        <v>0</v>
      </c>
    </row>
    <row r="138" spans="1:64" ht="20.100000000000001" customHeight="1">
      <c r="A138" s="1719" t="s">
        <v>188</v>
      </c>
      <c r="B138" s="506"/>
      <c r="C138" s="1720">
        <f>Zusatzeingaben!C138</f>
        <v>0</v>
      </c>
      <c r="D138" s="1720">
        <f>Zusatzeingaben!D138</f>
        <v>0</v>
      </c>
      <c r="E138" s="1720">
        <f>Zusatzeingaben!E138</f>
        <v>0</v>
      </c>
      <c r="F138" s="1720">
        <f>Zusatzeingaben!F138</f>
        <v>0</v>
      </c>
      <c r="G138" s="1720">
        <f>Zusatzeingaben!G138</f>
        <v>0</v>
      </c>
      <c r="H138" s="1720">
        <f>Zusatzeingaben!H138</f>
        <v>0</v>
      </c>
      <c r="I138" s="1721">
        <f>Zusatzeingaben!I138</f>
        <v>0</v>
      </c>
    </row>
    <row r="139" spans="1:64" ht="20.100000000000001" customHeight="1">
      <c r="A139" s="464" t="str">
        <f>Zusatzeingaben!A139</f>
        <v>Gewinn aus selbständiger Tätigkeit</v>
      </c>
      <c r="B139" s="359"/>
      <c r="C139" s="457">
        <f>Zusatzeingaben!C139</f>
        <v>0</v>
      </c>
      <c r="D139" s="457">
        <f>Zusatzeingaben!D139</f>
        <v>0</v>
      </c>
      <c r="E139" s="457">
        <f>Zusatzeingaben!E139</f>
        <v>0</v>
      </c>
      <c r="F139" s="457">
        <f>Zusatzeingaben!F139</f>
        <v>0</v>
      </c>
      <c r="G139" s="457">
        <f>Zusatzeingaben!G139</f>
        <v>0</v>
      </c>
      <c r="H139" s="457">
        <f>Zusatzeingaben!H139</f>
        <v>0</v>
      </c>
      <c r="I139" s="529">
        <f>Zusatzeingaben!I139</f>
        <v>0</v>
      </c>
    </row>
    <row r="140" spans="1:64" ht="20.100000000000001" hidden="1" customHeight="1">
      <c r="A140" s="214" t="s">
        <v>190</v>
      </c>
      <c r="B140" s="359"/>
      <c r="C140" s="535">
        <f t="shared" ref="C140:I140" si="37">C131+C136+C139</f>
        <v>0</v>
      </c>
      <c r="D140" s="535">
        <f t="shared" si="37"/>
        <v>0</v>
      </c>
      <c r="E140" s="535">
        <f t="shared" si="37"/>
        <v>0</v>
      </c>
      <c r="F140" s="535">
        <f t="shared" si="37"/>
        <v>0</v>
      </c>
      <c r="G140" s="535">
        <f t="shared" si="37"/>
        <v>0</v>
      </c>
      <c r="H140" s="535">
        <f t="shared" si="37"/>
        <v>0</v>
      </c>
      <c r="I140" s="535">
        <f t="shared" si="37"/>
        <v>0</v>
      </c>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row>
    <row r="141" spans="1:64" ht="20.100000000000001" hidden="1" customHeight="1">
      <c r="A141" s="214" t="s">
        <v>191</v>
      </c>
      <c r="B141" s="359"/>
      <c r="C141" s="507">
        <f t="shared" ref="C141:I141" si="38">C133+C137+C138+C139</f>
        <v>0</v>
      </c>
      <c r="D141" s="507">
        <f t="shared" si="38"/>
        <v>0</v>
      </c>
      <c r="E141" s="507">
        <f t="shared" si="38"/>
        <v>0</v>
      </c>
      <c r="F141" s="507">
        <f t="shared" si="38"/>
        <v>0</v>
      </c>
      <c r="G141" s="507">
        <f t="shared" si="38"/>
        <v>0</v>
      </c>
      <c r="H141" s="507">
        <f t="shared" si="38"/>
        <v>0</v>
      </c>
      <c r="I141" s="508">
        <f t="shared" si="38"/>
        <v>0</v>
      </c>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c r="BB141" s="287"/>
      <c r="BC141" s="287"/>
      <c r="BD141" s="287"/>
      <c r="BE141" s="287"/>
      <c r="BF141" s="287"/>
      <c r="BG141" s="287"/>
      <c r="BH141" s="287"/>
      <c r="BI141" s="287"/>
      <c r="BJ141" s="287"/>
      <c r="BK141" s="287"/>
      <c r="BL141" s="287"/>
    </row>
    <row r="142" spans="1:64" ht="20.100000000000001" customHeight="1">
      <c r="A142" s="464">
        <f>Zusatzeingaben!A142</f>
        <v>0</v>
      </c>
      <c r="B142" s="359"/>
      <c r="C142" s="935">
        <f>Zusatzeingaben!C142</f>
        <v>0</v>
      </c>
      <c r="D142" s="935">
        <f>Zusatzeingaben!D142</f>
        <v>0</v>
      </c>
      <c r="E142" s="935">
        <f>Zusatzeingaben!E142</f>
        <v>0</v>
      </c>
      <c r="F142" s="935">
        <f>Zusatzeingaben!F142</f>
        <v>0</v>
      </c>
      <c r="G142" s="935">
        <f>Zusatzeingaben!G142</f>
        <v>0</v>
      </c>
      <c r="H142" s="935">
        <f>Zusatzeingaben!H142</f>
        <v>0</v>
      </c>
      <c r="I142" s="1722">
        <f>Zusatzeingaben!I142</f>
        <v>0</v>
      </c>
    </row>
    <row r="143" spans="1:64" ht="20.100000000000001" customHeight="1">
      <c r="A143" s="1723" t="s">
        <v>2349</v>
      </c>
      <c r="B143" s="445"/>
      <c r="C143" s="482">
        <f>Zusatzeingaben!C143</f>
        <v>0</v>
      </c>
      <c r="D143" s="482">
        <f>Zusatzeingaben!D143</f>
        <v>0</v>
      </c>
      <c r="E143" s="482">
        <f>Zusatzeingaben!E143</f>
        <v>0</v>
      </c>
      <c r="F143" s="482">
        <f>Zusatzeingaben!F143</f>
        <v>0</v>
      </c>
      <c r="G143" s="482">
        <f>Zusatzeingaben!G143</f>
        <v>0</v>
      </c>
      <c r="H143" s="482">
        <f>Zusatzeingaben!H143</f>
        <v>0</v>
      </c>
      <c r="I143" s="532">
        <f>Zusatzeingaben!I143</f>
        <v>0</v>
      </c>
    </row>
    <row r="144" spans="1:64" ht="20.100000000000001" hidden="1" customHeight="1">
      <c r="A144" s="1724" t="s">
        <v>192</v>
      </c>
      <c r="B144" s="552"/>
      <c r="C144" s="549">
        <f t="shared" ref="C144:I144" si="39">IF(C131&gt;400,C143,0)</f>
        <v>0</v>
      </c>
      <c r="D144" s="549">
        <f t="shared" si="39"/>
        <v>0</v>
      </c>
      <c r="E144" s="549">
        <f t="shared" si="39"/>
        <v>0</v>
      </c>
      <c r="F144" s="549">
        <f t="shared" si="39"/>
        <v>0</v>
      </c>
      <c r="G144" s="549">
        <f t="shared" si="39"/>
        <v>0</v>
      </c>
      <c r="H144" s="549">
        <f t="shared" si="39"/>
        <v>0</v>
      </c>
      <c r="I144" s="549">
        <f t="shared" si="39"/>
        <v>0</v>
      </c>
    </row>
    <row r="145" spans="1:9" ht="20.100000000000001" hidden="1" customHeight="1">
      <c r="A145" s="551"/>
      <c r="B145" s="552"/>
      <c r="C145" s="394">
        <f t="shared" ref="C145:I145" si="40">IF(C138&gt;200,C143,0)</f>
        <v>0</v>
      </c>
      <c r="D145" s="394">
        <f t="shared" si="40"/>
        <v>0</v>
      </c>
      <c r="E145" s="394">
        <f t="shared" si="40"/>
        <v>0</v>
      </c>
      <c r="F145" s="394">
        <f t="shared" si="40"/>
        <v>0</v>
      </c>
      <c r="G145" s="394">
        <f t="shared" si="40"/>
        <v>0</v>
      </c>
      <c r="H145" s="394">
        <f t="shared" si="40"/>
        <v>0</v>
      </c>
      <c r="I145" s="394">
        <f t="shared" si="40"/>
        <v>0</v>
      </c>
    </row>
    <row r="146" spans="1:9" ht="20.100000000000001" hidden="1" customHeight="1">
      <c r="A146" s="405"/>
      <c r="B146" s="552"/>
      <c r="C146" s="394">
        <f t="shared" ref="C146:I146" si="41">IF(C136&gt;100,C143,0)</f>
        <v>0</v>
      </c>
      <c r="D146" s="394">
        <f t="shared" si="41"/>
        <v>0</v>
      </c>
      <c r="E146" s="394">
        <f t="shared" si="41"/>
        <v>0</v>
      </c>
      <c r="F146" s="394">
        <f t="shared" si="41"/>
        <v>0</v>
      </c>
      <c r="G146" s="394">
        <f t="shared" si="41"/>
        <v>0</v>
      </c>
      <c r="H146" s="394">
        <f t="shared" si="41"/>
        <v>0</v>
      </c>
      <c r="I146" s="394">
        <f t="shared" si="41"/>
        <v>0</v>
      </c>
    </row>
    <row r="147" spans="1:9" ht="20.100000000000001" hidden="1" customHeight="1">
      <c r="A147" s="551"/>
      <c r="B147" s="552"/>
      <c r="C147" s="552">
        <f t="shared" ref="C147:I147" si="42">IF(C144&gt;0,C144,IF(C145&gt;0,C145,IF(C146&gt;0,C146,0)))</f>
        <v>0</v>
      </c>
      <c r="D147" s="552">
        <f t="shared" si="42"/>
        <v>0</v>
      </c>
      <c r="E147" s="552">
        <f t="shared" si="42"/>
        <v>0</v>
      </c>
      <c r="F147" s="552">
        <f t="shared" si="42"/>
        <v>0</v>
      </c>
      <c r="G147" s="552">
        <f t="shared" si="42"/>
        <v>0</v>
      </c>
      <c r="H147" s="552">
        <f t="shared" si="42"/>
        <v>0</v>
      </c>
      <c r="I147" s="552">
        <f t="shared" si="42"/>
        <v>0</v>
      </c>
    </row>
    <row r="148" spans="1:9" ht="20.100000000000001" hidden="1" customHeight="1">
      <c r="A148" s="551"/>
      <c r="B148" s="552"/>
      <c r="C148" s="554">
        <f t="shared" ref="C148:I148" si="43">IF(C160=0,0,C147)</f>
        <v>0</v>
      </c>
      <c r="D148" s="554">
        <f t="shared" si="43"/>
        <v>0</v>
      </c>
      <c r="E148" s="554">
        <f t="shared" si="43"/>
        <v>0</v>
      </c>
      <c r="F148" s="554">
        <f t="shared" si="43"/>
        <v>0</v>
      </c>
      <c r="G148" s="554">
        <f t="shared" si="43"/>
        <v>0</v>
      </c>
      <c r="H148" s="554">
        <f t="shared" si="43"/>
        <v>0</v>
      </c>
      <c r="I148" s="554">
        <f t="shared" si="43"/>
        <v>0</v>
      </c>
    </row>
    <row r="149" spans="1:9" ht="20.100000000000001" hidden="1" customHeight="1">
      <c r="A149" s="405"/>
      <c r="B149" s="552"/>
      <c r="C149" s="552"/>
      <c r="D149" s="552"/>
      <c r="E149" s="552"/>
      <c r="F149" s="552"/>
      <c r="G149" s="552"/>
      <c r="H149" s="552"/>
      <c r="I149" s="553"/>
    </row>
    <row r="150" spans="1:9" ht="20.100000000000001" hidden="1" customHeight="1">
      <c r="A150" s="560" t="s">
        <v>193</v>
      </c>
      <c r="B150" s="552"/>
      <c r="C150" s="556">
        <f>IF(C195&gt;0,0,IF(C34="nein",0,IF(C131+C139&gt;100,100,C131+C139)))</f>
        <v>0</v>
      </c>
      <c r="D150" s="556">
        <f>IF(D195&gt;0,0,IF(D34="nein",0,IF(D131+D139&gt;100,100,D131+D139)))</f>
        <v>0</v>
      </c>
      <c r="E150" s="556">
        <f>IF(AND(E18&gt;14,E34="nein"),0,IF(E131+E139&gt;100,100,E131+E139))</f>
        <v>0</v>
      </c>
      <c r="F150" s="556">
        <f>IF(AND(F18&gt;14,F34="nein"),0,IF(F131+F139&gt;100,100,F131+F139))</f>
        <v>0</v>
      </c>
      <c r="G150" s="556">
        <f>IF(AND(G18&gt;14,G34="nein"),0,IF(G131+G139&gt;100,100,G131+G139))</f>
        <v>0</v>
      </c>
      <c r="H150" s="556">
        <f>IF(AND(H18&gt;14,H34="nein"),0,IF(H131+H139&gt;100,100,H131+H139))</f>
        <v>0</v>
      </c>
      <c r="I150" s="556">
        <f>IF(AND(I18&gt;14,I34="nein"),0,IF(I131+I139&gt;100,100,I131+I139))</f>
        <v>0</v>
      </c>
    </row>
    <row r="151" spans="1:9" ht="20.100000000000001" hidden="1" customHeight="1">
      <c r="A151" s="405"/>
      <c r="B151" s="552"/>
      <c r="C151" s="509">
        <f t="shared" ref="C151:I151" si="44">IF(AND(C131+C139&gt;400,C150=100),C213,C150)</f>
        <v>0</v>
      </c>
      <c r="D151" s="509">
        <f t="shared" si="44"/>
        <v>0</v>
      </c>
      <c r="E151" s="509">
        <f t="shared" si="44"/>
        <v>0</v>
      </c>
      <c r="F151" s="509">
        <f t="shared" si="44"/>
        <v>0</v>
      </c>
      <c r="G151" s="509">
        <f t="shared" si="44"/>
        <v>0</v>
      </c>
      <c r="H151" s="509">
        <f t="shared" si="44"/>
        <v>0</v>
      </c>
      <c r="I151" s="510">
        <f t="shared" si="44"/>
        <v>0</v>
      </c>
    </row>
    <row r="152" spans="1:9" ht="20.100000000000001" hidden="1" customHeight="1">
      <c r="A152" s="405"/>
      <c r="B152" s="552"/>
      <c r="C152" s="558">
        <f t="shared" ref="C152:I152" si="45">IF(C151&gt;C131+C139,C131+C139,C151)</f>
        <v>0</v>
      </c>
      <c r="D152" s="558">
        <f t="shared" si="45"/>
        <v>0</v>
      </c>
      <c r="E152" s="558">
        <f t="shared" si="45"/>
        <v>0</v>
      </c>
      <c r="F152" s="558">
        <f t="shared" si="45"/>
        <v>0</v>
      </c>
      <c r="G152" s="558">
        <f t="shared" si="45"/>
        <v>0</v>
      </c>
      <c r="H152" s="558">
        <f t="shared" si="45"/>
        <v>0</v>
      </c>
      <c r="I152" s="559">
        <f t="shared" si="45"/>
        <v>0</v>
      </c>
    </row>
    <row r="153" spans="1:9" ht="20.100000000000001" hidden="1" customHeight="1">
      <c r="A153" s="560" t="s">
        <v>194</v>
      </c>
      <c r="B153" s="552"/>
      <c r="C153" s="561">
        <f t="shared" ref="C153:I153" si="46">IF(C136&gt;100,100,C136)</f>
        <v>0</v>
      </c>
      <c r="D153" s="561">
        <f t="shared" si="46"/>
        <v>0</v>
      </c>
      <c r="E153" s="561">
        <f t="shared" si="46"/>
        <v>0</v>
      </c>
      <c r="F153" s="561">
        <f t="shared" si="46"/>
        <v>0</v>
      </c>
      <c r="G153" s="561">
        <f t="shared" si="46"/>
        <v>0</v>
      </c>
      <c r="H153" s="561">
        <f t="shared" si="46"/>
        <v>0</v>
      </c>
      <c r="I153" s="562">
        <f t="shared" si="46"/>
        <v>0</v>
      </c>
    </row>
    <row r="154" spans="1:9" ht="20.100000000000001" hidden="1" customHeight="1">
      <c r="A154" s="560"/>
      <c r="B154" s="552"/>
      <c r="C154" s="509">
        <f t="shared" ref="C154:I154" si="47">IF(C136&gt;100,C213,C153)</f>
        <v>0</v>
      </c>
      <c r="D154" s="509">
        <f t="shared" si="47"/>
        <v>0</v>
      </c>
      <c r="E154" s="509">
        <f t="shared" si="47"/>
        <v>0</v>
      </c>
      <c r="F154" s="509">
        <f t="shared" si="47"/>
        <v>0</v>
      </c>
      <c r="G154" s="509">
        <f t="shared" si="47"/>
        <v>0</v>
      </c>
      <c r="H154" s="509">
        <f t="shared" si="47"/>
        <v>0</v>
      </c>
      <c r="I154" s="510">
        <f t="shared" si="47"/>
        <v>0</v>
      </c>
    </row>
    <row r="155" spans="1:9" ht="20.100000000000001" hidden="1" customHeight="1">
      <c r="A155" s="560"/>
      <c r="B155" s="552"/>
      <c r="C155" s="558">
        <f t="shared" ref="C155:I155" si="48">IF(C154&gt;C136,C136,C154)</f>
        <v>0</v>
      </c>
      <c r="D155" s="558">
        <f t="shared" si="48"/>
        <v>0</v>
      </c>
      <c r="E155" s="558">
        <f t="shared" si="48"/>
        <v>0</v>
      </c>
      <c r="F155" s="558">
        <f t="shared" si="48"/>
        <v>0</v>
      </c>
      <c r="G155" s="558">
        <f t="shared" si="48"/>
        <v>0</v>
      </c>
      <c r="H155" s="558">
        <f t="shared" si="48"/>
        <v>0</v>
      </c>
      <c r="I155" s="559">
        <f t="shared" si="48"/>
        <v>0</v>
      </c>
    </row>
    <row r="156" spans="1:9" ht="20.100000000000001" hidden="1" customHeight="1">
      <c r="A156" s="560" t="s">
        <v>195</v>
      </c>
      <c r="B156" s="552"/>
      <c r="C156" s="561">
        <f t="shared" ref="C156:I156" si="49">IF(C138&gt;200,200,C138)</f>
        <v>0</v>
      </c>
      <c r="D156" s="561">
        <f t="shared" si="49"/>
        <v>0</v>
      </c>
      <c r="E156" s="561">
        <f t="shared" si="49"/>
        <v>0</v>
      </c>
      <c r="F156" s="561">
        <f t="shared" si="49"/>
        <v>0</v>
      </c>
      <c r="G156" s="561">
        <f t="shared" si="49"/>
        <v>0</v>
      </c>
      <c r="H156" s="561">
        <f t="shared" si="49"/>
        <v>0</v>
      </c>
      <c r="I156" s="562">
        <f t="shared" si="49"/>
        <v>0</v>
      </c>
    </row>
    <row r="157" spans="1:9" ht="20.100000000000001" hidden="1" customHeight="1">
      <c r="A157" s="405"/>
      <c r="B157" s="552"/>
      <c r="C157" s="509">
        <f t="shared" ref="C157:I157" si="50">IF(AND(C138&gt;200,C156=200),C214,C156)</f>
        <v>0</v>
      </c>
      <c r="D157" s="509">
        <f t="shared" si="50"/>
        <v>0</v>
      </c>
      <c r="E157" s="509">
        <f t="shared" si="50"/>
        <v>0</v>
      </c>
      <c r="F157" s="509">
        <f t="shared" si="50"/>
        <v>0</v>
      </c>
      <c r="G157" s="509">
        <f t="shared" si="50"/>
        <v>0</v>
      </c>
      <c r="H157" s="509">
        <f t="shared" si="50"/>
        <v>0</v>
      </c>
      <c r="I157" s="510">
        <f t="shared" si="50"/>
        <v>0</v>
      </c>
    </row>
    <row r="158" spans="1:9" ht="20.100000000000001" hidden="1" customHeight="1">
      <c r="A158" s="551"/>
      <c r="B158" s="552"/>
      <c r="C158" s="564">
        <f t="shared" ref="C158:I158" si="51">C157</f>
        <v>0</v>
      </c>
      <c r="D158" s="564">
        <f t="shared" si="51"/>
        <v>0</v>
      </c>
      <c r="E158" s="564">
        <f t="shared" si="51"/>
        <v>0</v>
      </c>
      <c r="F158" s="564">
        <f t="shared" si="51"/>
        <v>0</v>
      </c>
      <c r="G158" s="564">
        <f t="shared" si="51"/>
        <v>0</v>
      </c>
      <c r="H158" s="564">
        <f t="shared" si="51"/>
        <v>0</v>
      </c>
      <c r="I158" s="1725">
        <f t="shared" si="51"/>
        <v>0</v>
      </c>
    </row>
    <row r="159" spans="1:9" ht="20.100000000000001" hidden="1" customHeight="1">
      <c r="A159" s="551"/>
      <c r="B159" s="552"/>
      <c r="C159" s="552">
        <f t="shared" ref="C159:I159" si="52">IF(C155&gt;C152,C155,C152)</f>
        <v>0</v>
      </c>
      <c r="D159" s="552">
        <f t="shared" si="52"/>
        <v>0</v>
      </c>
      <c r="E159" s="552">
        <f t="shared" si="52"/>
        <v>0</v>
      </c>
      <c r="F159" s="552">
        <f t="shared" si="52"/>
        <v>0</v>
      </c>
      <c r="G159" s="552">
        <f t="shared" si="52"/>
        <v>0</v>
      </c>
      <c r="H159" s="552">
        <f t="shared" si="52"/>
        <v>0</v>
      </c>
      <c r="I159" s="553">
        <f t="shared" si="52"/>
        <v>0</v>
      </c>
    </row>
    <row r="160" spans="1:9" ht="20.100000000000001" hidden="1" customHeight="1">
      <c r="A160" s="555" t="s">
        <v>196</v>
      </c>
      <c r="B160" s="552"/>
      <c r="C160" s="566">
        <f t="shared" ref="C160:I160" si="53">IF(AND(C132+C139&gt;0,C132+C139&lt;100,C136=0,C138=0),C132+C139,IF(AND(C131+C139&gt;400,C159&gt;100,C138&gt;0,C159&gt;200),C159,IF(AND(C131+C139&gt;400,C159&gt;100,C138&gt;0,C158+100&gt;C159),MIN(200,C158+100),IF(AND(C131+C139&gt;400,C159&gt;100,C138&gt;0,C158+100&lt;C159),C159,IF(AND(C138&gt;0,C158&lt;=200,C159&lt;=200),MIN(200,C158+C159),C159)))))</f>
        <v>0</v>
      </c>
      <c r="D160" s="566">
        <f t="shared" si="53"/>
        <v>0</v>
      </c>
      <c r="E160" s="566">
        <f t="shared" si="53"/>
        <v>0</v>
      </c>
      <c r="F160" s="566">
        <f t="shared" si="53"/>
        <v>0</v>
      </c>
      <c r="G160" s="566">
        <f t="shared" si="53"/>
        <v>0</v>
      </c>
      <c r="H160" s="566">
        <f t="shared" si="53"/>
        <v>0</v>
      </c>
      <c r="I160" s="566">
        <f t="shared" si="53"/>
        <v>0</v>
      </c>
    </row>
    <row r="161" spans="1:64" ht="20.100000000000001" hidden="1" customHeight="1">
      <c r="A161" s="551"/>
      <c r="B161" s="552"/>
      <c r="C161" s="552">
        <f t="shared" ref="C161:I161" si="54">IF(C195&gt;0,C160,IF(C34="nein",C160,IF(AND(C160&lt;100,C198&gt;0),C212,C160)))</f>
        <v>0</v>
      </c>
      <c r="D161" s="552">
        <f t="shared" si="54"/>
        <v>0</v>
      </c>
      <c r="E161" s="552">
        <f t="shared" si="54"/>
        <v>0</v>
      </c>
      <c r="F161" s="552">
        <f t="shared" si="54"/>
        <v>0</v>
      </c>
      <c r="G161" s="552">
        <f t="shared" si="54"/>
        <v>0</v>
      </c>
      <c r="H161" s="552">
        <f t="shared" si="54"/>
        <v>0</v>
      </c>
      <c r="I161" s="552">
        <f t="shared" si="54"/>
        <v>0</v>
      </c>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row>
    <row r="162" spans="1:64" ht="20.100000000000001" hidden="1" customHeight="1">
      <c r="A162" s="551"/>
      <c r="B162" s="552"/>
      <c r="C162" s="552">
        <f t="shared" ref="C162:I162" si="55">IF(C161&gt;C160,C160-C212,C160)</f>
        <v>0</v>
      </c>
      <c r="D162" s="552">
        <f t="shared" si="55"/>
        <v>0</v>
      </c>
      <c r="E162" s="552">
        <f t="shared" si="55"/>
        <v>0</v>
      </c>
      <c r="F162" s="552">
        <f t="shared" si="55"/>
        <v>0</v>
      </c>
      <c r="G162" s="552">
        <f t="shared" si="55"/>
        <v>0</v>
      </c>
      <c r="H162" s="552">
        <f t="shared" si="55"/>
        <v>0</v>
      </c>
      <c r="I162" s="552">
        <f t="shared" si="55"/>
        <v>0</v>
      </c>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c r="BB162" s="287"/>
      <c r="BC162" s="287"/>
      <c r="BD162" s="287"/>
      <c r="BE162" s="287"/>
      <c r="BF162" s="287"/>
      <c r="BG162" s="287"/>
      <c r="BH162" s="287"/>
      <c r="BI162" s="287"/>
      <c r="BJ162" s="287"/>
      <c r="BK162" s="287"/>
      <c r="BL162" s="287"/>
    </row>
    <row r="163" spans="1:64" ht="20.100000000000001" hidden="1" customHeight="1">
      <c r="A163" s="551"/>
      <c r="B163" s="552"/>
      <c r="C163" s="1726">
        <f t="shared" ref="C163:I163" si="56">IF(C162&lt;0,C162*-1,C162)</f>
        <v>0</v>
      </c>
      <c r="D163" s="1726">
        <f t="shared" si="56"/>
        <v>0</v>
      </c>
      <c r="E163" s="1726">
        <f t="shared" si="56"/>
        <v>0</v>
      </c>
      <c r="F163" s="1726">
        <f t="shared" si="56"/>
        <v>0</v>
      </c>
      <c r="G163" s="1726">
        <f t="shared" si="56"/>
        <v>0</v>
      </c>
      <c r="H163" s="1726">
        <f t="shared" si="56"/>
        <v>0</v>
      </c>
      <c r="I163" s="1727">
        <f t="shared" si="56"/>
        <v>0</v>
      </c>
    </row>
    <row r="164" spans="1:64" ht="20.100000000000001" customHeight="1">
      <c r="A164" s="571" t="s">
        <v>2350</v>
      </c>
      <c r="B164" s="541"/>
      <c r="C164" s="1715">
        <f>Zusatzeingaben!C165</f>
        <v>0</v>
      </c>
      <c r="D164" s="1715">
        <f>Zusatzeingaben!D165</f>
        <v>0</v>
      </c>
      <c r="E164" s="1715">
        <f>Zusatzeingaben!E165</f>
        <v>0</v>
      </c>
      <c r="F164" s="1715">
        <f>Zusatzeingaben!F165</f>
        <v>0</v>
      </c>
      <c r="G164" s="1715">
        <f>Zusatzeingaben!G165</f>
        <v>0</v>
      </c>
      <c r="H164" s="1715">
        <f>Zusatzeingaben!H165</f>
        <v>0</v>
      </c>
      <c r="I164" s="1716">
        <f>Zusatzeingaben!I165</f>
        <v>0</v>
      </c>
    </row>
    <row r="165" spans="1:64" ht="20.100000000000001" customHeight="1">
      <c r="A165" s="1728" t="s">
        <v>2351</v>
      </c>
      <c r="B165" s="359"/>
      <c r="C165" s="1729">
        <f>Zusatzeingaben!C166</f>
        <v>0</v>
      </c>
      <c r="D165" s="1729">
        <f>Zusatzeingaben!D166</f>
        <v>0</v>
      </c>
      <c r="E165" s="1729">
        <f>Zusatzeingaben!E166</f>
        <v>0</v>
      </c>
      <c r="F165" s="1729">
        <f>Zusatzeingaben!F166</f>
        <v>0</v>
      </c>
      <c r="G165" s="1729">
        <f>Zusatzeingaben!G166</f>
        <v>0</v>
      </c>
      <c r="H165" s="1729">
        <f>Zusatzeingaben!H166</f>
        <v>0</v>
      </c>
      <c r="I165" s="1730">
        <f>Zusatzeingaben!I166</f>
        <v>0</v>
      </c>
    </row>
    <row r="166" spans="1:64" ht="20.100000000000001" customHeight="1">
      <c r="A166" s="1728" t="s">
        <v>2352</v>
      </c>
      <c r="B166" s="359"/>
      <c r="C166" s="1706">
        <f>Zusatzeingaben!C167</f>
        <v>0</v>
      </c>
      <c r="D166" s="1706">
        <f>Zusatzeingaben!D167</f>
        <v>0</v>
      </c>
      <c r="E166" s="1706">
        <f>Zusatzeingaben!E167</f>
        <v>0</v>
      </c>
      <c r="F166" s="1706">
        <f>Zusatzeingaben!F167</f>
        <v>0</v>
      </c>
      <c r="G166" s="1706">
        <f>Zusatzeingaben!G167</f>
        <v>0</v>
      </c>
      <c r="H166" s="1706">
        <f>Zusatzeingaben!H167</f>
        <v>0</v>
      </c>
      <c r="I166" s="1707">
        <f>Zusatzeingaben!I167</f>
        <v>0</v>
      </c>
    </row>
    <row r="167" spans="1:64" ht="20.100000000000001" customHeight="1">
      <c r="A167" s="1731" t="s">
        <v>2347</v>
      </c>
      <c r="B167" s="359"/>
      <c r="C167" s="522">
        <f>IF(C165="vollverpflegung",C23*C166*0.01,IF(C165="frühstück",C23*C166*0.002,IF(C165="mittagessen",C23*C166*0.004,IF(C165="abendessen",C23*C166*0.004,0))))</f>
        <v>0</v>
      </c>
      <c r="D167" s="338">
        <f>IF(D165="vollverpflegung",D23*D166*0.01,IF(D165="frühstück",D23*D166*0.002,IF(D165="mittagessen",D23*D166*0.004,IF(D165="abendessen",D23*D166*0.004,0))))</f>
        <v>0</v>
      </c>
      <c r="E167" s="338">
        <f>IF(E165="vollverpflegung",E31*E166*0.01,IF(E165="frühstück",E31*E166*0.002,IF(E165="mittagessen",E31*E166*0.004,IF(E165="abendessen",E31*E166*0.004,0))))</f>
        <v>0</v>
      </c>
      <c r="F167" s="338">
        <f>IF(F165="vollverpflegung",F31*F166*0.01,IF(F165="frühstück",F31*F166*0.002,IF(F165="mittagessen",F31*F166*0.004,IF(F165="abendessen",F31*F166*0.004,0))))</f>
        <v>0</v>
      </c>
      <c r="G167" s="338">
        <f>IF(G165="vollverpflegung",G31*G166*0.01,IF(G165="frühstück",G31*G166*0.002,IF(G165="mittagessen",G31*G166*0.004,IF(G165="abendessen",G31*G166*0.004,0))))</f>
        <v>0</v>
      </c>
      <c r="H167" s="338">
        <f>IF(H165="vollverpflegung",H31*H166*0.01,IF(H165="frühstück",H31*H166*0.002,IF(H165="mittagessen",H31*H166*0.004,IF(H165="abendessen",H31*H166*0.004,0))))</f>
        <v>0</v>
      </c>
      <c r="I167" s="339">
        <f>IF(I165="vollverpflegung",I31*I166*0.01,IF(I165="frühstück",I31*I166*0.002,IF(I165="mittagessen",I31*I166*0.004,IF(I165="abendessen",I31*I166*0.004,0))))</f>
        <v>0</v>
      </c>
    </row>
    <row r="168" spans="1:64" ht="20.100000000000001" hidden="1" customHeight="1">
      <c r="A168" s="1732" t="s">
        <v>198</v>
      </c>
      <c r="B168" s="359"/>
      <c r="C168" s="338">
        <f t="shared" ref="C168:I168" si="57">C164+C167</f>
        <v>0</v>
      </c>
      <c r="D168" s="338">
        <f t="shared" si="57"/>
        <v>0</v>
      </c>
      <c r="E168" s="338">
        <f t="shared" si="57"/>
        <v>0</v>
      </c>
      <c r="F168" s="338">
        <f t="shared" si="57"/>
        <v>0</v>
      </c>
      <c r="G168" s="338">
        <f t="shared" si="57"/>
        <v>0</v>
      </c>
      <c r="H168" s="338">
        <f t="shared" si="57"/>
        <v>0</v>
      </c>
      <c r="I168" s="338">
        <f t="shared" si="57"/>
        <v>0</v>
      </c>
    </row>
    <row r="169" spans="1:64" ht="20.100000000000001" hidden="1" customHeight="1">
      <c r="A169" s="1733"/>
      <c r="B169" s="636"/>
      <c r="C169" s="552">
        <f t="shared" ref="C169:I169" si="58">IF(C164&gt;200,200,C164)</f>
        <v>0</v>
      </c>
      <c r="D169" s="552">
        <f t="shared" si="58"/>
        <v>0</v>
      </c>
      <c r="E169" s="552">
        <f t="shared" si="58"/>
        <v>0</v>
      </c>
      <c r="F169" s="552">
        <f t="shared" si="58"/>
        <v>0</v>
      </c>
      <c r="G169" s="552">
        <f t="shared" si="58"/>
        <v>0</v>
      </c>
      <c r="H169" s="552">
        <f t="shared" si="58"/>
        <v>0</v>
      </c>
      <c r="I169" s="552">
        <f t="shared" si="58"/>
        <v>0</v>
      </c>
    </row>
    <row r="170" spans="1:64" ht="20.100000000000001" hidden="1" customHeight="1">
      <c r="A170" s="1733"/>
      <c r="B170" s="636"/>
      <c r="C170" s="552">
        <f t="shared" ref="C170:I170" si="59">IF(C160=200,0,IF(AND(C160&gt;1,C160&lt;200),C169-C160,C169))</f>
        <v>0</v>
      </c>
      <c r="D170" s="552">
        <f t="shared" si="59"/>
        <v>0</v>
      </c>
      <c r="E170" s="552">
        <f t="shared" si="59"/>
        <v>0</v>
      </c>
      <c r="F170" s="552">
        <f t="shared" si="59"/>
        <v>0</v>
      </c>
      <c r="G170" s="552">
        <f t="shared" si="59"/>
        <v>0</v>
      </c>
      <c r="H170" s="552">
        <f t="shared" si="59"/>
        <v>0</v>
      </c>
      <c r="I170" s="552">
        <f t="shared" si="59"/>
        <v>0</v>
      </c>
    </row>
    <row r="171" spans="1:64" ht="20.100000000000001" hidden="1" customHeight="1">
      <c r="A171" s="581" t="s">
        <v>199</v>
      </c>
      <c r="B171" s="582"/>
      <c r="C171" s="1734">
        <f t="shared" ref="C171:I171" si="60">IF(C170&lt;0,0,C170)</f>
        <v>0</v>
      </c>
      <c r="D171" s="1734">
        <f t="shared" si="60"/>
        <v>0</v>
      </c>
      <c r="E171" s="1734">
        <f t="shared" si="60"/>
        <v>0</v>
      </c>
      <c r="F171" s="1734">
        <f t="shared" si="60"/>
        <v>0</v>
      </c>
      <c r="G171" s="1734">
        <f t="shared" si="60"/>
        <v>0</v>
      </c>
      <c r="H171" s="1734">
        <f t="shared" si="60"/>
        <v>0</v>
      </c>
      <c r="I171" s="1734">
        <f t="shared" si="60"/>
        <v>0</v>
      </c>
    </row>
    <row r="172" spans="1:64" ht="20.100000000000001" customHeight="1">
      <c r="A172" s="1735" t="s">
        <v>97</v>
      </c>
      <c r="B172" s="541"/>
      <c r="C172" s="1715">
        <f>Zusatzeingaben!C174</f>
        <v>0</v>
      </c>
      <c r="D172" s="1715">
        <f>Zusatzeingaben!D174</f>
        <v>0</v>
      </c>
      <c r="E172" s="1736"/>
      <c r="F172" s="1736"/>
      <c r="G172" s="1736"/>
      <c r="H172" s="1736"/>
      <c r="I172" s="1737"/>
    </row>
    <row r="173" spans="1:64" ht="20.100000000000001" customHeight="1">
      <c r="A173" s="1738" t="s">
        <v>2353</v>
      </c>
      <c r="B173" s="359"/>
      <c r="C173" s="457">
        <f>Zusatzeingaben!C175</f>
        <v>0</v>
      </c>
      <c r="D173" s="457">
        <f>Zusatzeingaben!D175</f>
        <v>0</v>
      </c>
      <c r="E173" s="338"/>
      <c r="F173" s="338"/>
      <c r="G173" s="338"/>
      <c r="H173" s="338"/>
      <c r="I173" s="339"/>
    </row>
    <row r="174" spans="1:64" ht="20.100000000000001" customHeight="1">
      <c r="A174" s="1739" t="s">
        <v>2354</v>
      </c>
      <c r="B174" s="445"/>
      <c r="C174" s="1688" t="str">
        <f>Zusatzeingaben!C176</f>
        <v>Nein</v>
      </c>
      <c r="D174" s="1688" t="str">
        <f>Zusatzeingaben!D176</f>
        <v>Nein</v>
      </c>
      <c r="E174" s="1701"/>
      <c r="F174" s="1701"/>
      <c r="G174" s="1701"/>
      <c r="H174" s="1701"/>
      <c r="I174" s="1702"/>
    </row>
    <row r="175" spans="1:64" ht="20.100000000000001" hidden="1" customHeight="1">
      <c r="A175" s="590"/>
      <c r="B175" s="526"/>
      <c r="C175" s="591">
        <f>IF(C173&gt;300,300,C173)</f>
        <v>0</v>
      </c>
      <c r="D175" s="591">
        <f>IF(D173&gt;300,300,D173)</f>
        <v>0</v>
      </c>
      <c r="E175" s="527"/>
      <c r="F175" s="527"/>
      <c r="G175" s="527"/>
      <c r="H175" s="527"/>
      <c r="I175" s="528"/>
    </row>
    <row r="176" spans="1:64" ht="20.100000000000001" hidden="1" customHeight="1">
      <c r="A176" s="590"/>
      <c r="B176" s="526"/>
      <c r="C176" s="591">
        <f t="shared" ref="C176:I176" si="61">IF(C174="ja",MIN(150,C173/2),C175)</f>
        <v>0</v>
      </c>
      <c r="D176" s="591">
        <f t="shared" si="61"/>
        <v>0</v>
      </c>
      <c r="E176" s="591">
        <f t="shared" si="61"/>
        <v>0</v>
      </c>
      <c r="F176" s="591">
        <f t="shared" si="61"/>
        <v>0</v>
      </c>
      <c r="G176" s="591">
        <f t="shared" si="61"/>
        <v>0</v>
      </c>
      <c r="H176" s="591">
        <f t="shared" si="61"/>
        <v>0</v>
      </c>
      <c r="I176" s="591">
        <f t="shared" si="61"/>
        <v>0</v>
      </c>
    </row>
    <row r="177" spans="1:64" ht="20.100000000000001" hidden="1" customHeight="1">
      <c r="A177" s="590" t="s">
        <v>200</v>
      </c>
      <c r="B177" s="526"/>
      <c r="C177" s="591">
        <f>IF(C176&lt;C175,C176,C175)</f>
        <v>0</v>
      </c>
      <c r="D177" s="591">
        <f>IF(D176&lt;D175,D176,D175)</f>
        <v>0</v>
      </c>
      <c r="E177" s="527"/>
      <c r="F177" s="527"/>
      <c r="G177" s="527"/>
      <c r="H177" s="527"/>
      <c r="I177" s="528"/>
    </row>
    <row r="178" spans="1:64" ht="20.100000000000001" customHeight="1">
      <c r="A178" s="1740" t="str">
        <f>Zusatzeingaben!A180</f>
        <v>Leistungen der Ausbildungsförderung (siehe Liste)</v>
      </c>
      <c r="B178" s="541"/>
      <c r="C178" s="1715">
        <f>Zusatzeingaben!C180</f>
        <v>0</v>
      </c>
      <c r="D178" s="1715">
        <f>Zusatzeingaben!D180</f>
        <v>0</v>
      </c>
      <c r="E178" s="1715">
        <f>Zusatzeingaben!E180</f>
        <v>0</v>
      </c>
      <c r="F178" s="1715">
        <f>Zusatzeingaben!F180</f>
        <v>0</v>
      </c>
      <c r="G178" s="1736"/>
      <c r="H178" s="1736"/>
      <c r="I178" s="1737"/>
    </row>
    <row r="179" spans="1:64" ht="20.100000000000001" customHeight="1">
      <c r="A179" s="1741" t="s">
        <v>2355</v>
      </c>
      <c r="B179" s="359"/>
      <c r="C179" s="1708">
        <f>Zusatzeingaben!C181</f>
        <v>0</v>
      </c>
      <c r="D179" s="1708">
        <f>Zusatzeingaben!D181</f>
        <v>0</v>
      </c>
      <c r="E179" s="1708">
        <f>Zusatzeingaben!E181</f>
        <v>0</v>
      </c>
      <c r="F179" s="1708">
        <f>Zusatzeingaben!F181</f>
        <v>0</v>
      </c>
      <c r="G179" s="338"/>
      <c r="H179" s="338"/>
      <c r="I179" s="339"/>
    </row>
    <row r="180" spans="1:64" ht="20.100000000000001" customHeight="1">
      <c r="A180" s="1741" t="s">
        <v>2356</v>
      </c>
      <c r="B180" s="359"/>
      <c r="C180" s="1712">
        <f>Zusatzeingaben!C182</f>
        <v>0</v>
      </c>
      <c r="D180" s="1712">
        <f>Zusatzeingaben!D182</f>
        <v>0</v>
      </c>
      <c r="E180" s="1712">
        <f>Zusatzeingaben!E182</f>
        <v>0</v>
      </c>
      <c r="F180" s="1712">
        <f>Zusatzeingaben!F182</f>
        <v>0</v>
      </c>
      <c r="G180" s="338"/>
      <c r="H180" s="338"/>
      <c r="I180" s="339"/>
    </row>
    <row r="181" spans="1:64" ht="20.100000000000001" hidden="1" customHeight="1">
      <c r="A181" s="303"/>
      <c r="B181" s="359"/>
      <c r="C181" s="433">
        <f>C179*C180*0.2</f>
        <v>0</v>
      </c>
      <c r="D181" s="433">
        <f>D179*D180*0.2</f>
        <v>0</v>
      </c>
      <c r="E181" s="433">
        <f>E179*E180*0.2</f>
        <v>0</v>
      </c>
      <c r="F181" s="433">
        <f>F179*F180*0.2</f>
        <v>0</v>
      </c>
      <c r="G181" s="338"/>
      <c r="H181" s="338"/>
      <c r="I181" s="339"/>
    </row>
    <row r="182" spans="1:64" ht="20.100000000000001" customHeight="1">
      <c r="A182" s="1741" t="s">
        <v>2357</v>
      </c>
      <c r="B182" s="359"/>
      <c r="C182" s="457">
        <f>Zusatzeingaben!C184</f>
        <v>0</v>
      </c>
      <c r="D182" s="457">
        <f>Zusatzeingaben!D184</f>
        <v>0</v>
      </c>
      <c r="E182" s="457">
        <f>Zusatzeingaben!E184</f>
        <v>0</v>
      </c>
      <c r="F182" s="457">
        <f>Zusatzeingaben!F184</f>
        <v>0</v>
      </c>
      <c r="G182" s="338"/>
      <c r="H182" s="338"/>
      <c r="I182" s="339"/>
    </row>
    <row r="183" spans="1:64" ht="20.100000000000001" hidden="1" customHeight="1">
      <c r="A183" s="590"/>
      <c r="B183" s="526"/>
      <c r="C183" s="527">
        <f>MAX(C181,C182)</f>
        <v>0</v>
      </c>
      <c r="D183" s="527">
        <f>MAX(D181,D182)</f>
        <v>0</v>
      </c>
      <c r="E183" s="527">
        <f>MAX(E181,E182)</f>
        <v>0</v>
      </c>
      <c r="F183" s="527">
        <f>MAX(F181,F182)</f>
        <v>0</v>
      </c>
      <c r="G183" s="595"/>
      <c r="H183" s="595"/>
      <c r="I183" s="596"/>
    </row>
    <row r="184" spans="1:64" ht="20.100000000000001" customHeight="1">
      <c r="A184" s="1741" t="s">
        <v>2358</v>
      </c>
      <c r="B184" s="526"/>
      <c r="C184" s="457">
        <f>Zusatzeingaben!C186</f>
        <v>0</v>
      </c>
      <c r="D184" s="457">
        <f>Zusatzeingaben!D186</f>
        <v>0</v>
      </c>
      <c r="E184" s="457">
        <f>Zusatzeingaben!E186</f>
        <v>0</v>
      </c>
      <c r="F184" s="457">
        <f>Zusatzeingaben!F186</f>
        <v>0</v>
      </c>
      <c r="G184" s="595"/>
      <c r="H184" s="595"/>
      <c r="I184" s="596"/>
    </row>
    <row r="185" spans="1:64" ht="20.100000000000001" hidden="1" customHeight="1">
      <c r="A185" s="600"/>
      <c r="B185" s="526"/>
      <c r="C185" s="535">
        <f>MIN(C178,100)</f>
        <v>0</v>
      </c>
      <c r="D185" s="535">
        <f>MIN(D178,100)</f>
        <v>0</v>
      </c>
      <c r="E185" s="535">
        <f>MIN(E178,100)</f>
        <v>0</v>
      </c>
      <c r="F185" s="535">
        <f>MIN(F178,100)</f>
        <v>0</v>
      </c>
      <c r="G185" s="595"/>
      <c r="H185" s="595"/>
      <c r="I185" s="596"/>
    </row>
    <row r="186" spans="1:64" ht="20.100000000000001" hidden="1" customHeight="1">
      <c r="A186" s="600"/>
      <c r="B186" s="526"/>
      <c r="C186" s="535">
        <f>IF(AND(C160&gt;0,C160&lt;=100),MIN(100-C160,C185),IF(C158&gt;100,0,C185))</f>
        <v>0</v>
      </c>
      <c r="D186" s="535">
        <f>IF(AND(D160&gt;0,D160&lt;=100),MIN(100-D160,D185),IF(D158&gt;100,0,D185))</f>
        <v>0</v>
      </c>
      <c r="E186" s="535">
        <f>IF(AND(E160&gt;0,E160&lt;=100),MIN(100-E160,E185),IF(E158&gt;100,0,E185))</f>
        <v>0</v>
      </c>
      <c r="F186" s="535">
        <f>IF(AND(F160&gt;0,F160&lt;=100),MIN(100-F160,F185),IF(F158&gt;100,0,F185))</f>
        <v>0</v>
      </c>
      <c r="G186" s="595"/>
      <c r="H186" s="595"/>
      <c r="I186" s="596"/>
    </row>
    <row r="187" spans="1:64" ht="20.100000000000001" hidden="1" customHeight="1">
      <c r="A187" s="505" t="s">
        <v>202</v>
      </c>
      <c r="B187" s="526"/>
      <c r="C187" s="535">
        <f>IF(OR(C160&gt;0,C178=0),0,C186)</f>
        <v>0</v>
      </c>
      <c r="D187" s="535">
        <f>IF(OR(D160&gt;0,D178=0),0,D186)</f>
        <v>0</v>
      </c>
      <c r="E187" s="535">
        <f>IF(OR(E160&gt;0,E178=0),0,E186)</f>
        <v>0</v>
      </c>
      <c r="F187" s="535">
        <f>IF(OR(F160&gt;0,F178=0),0,F186)</f>
        <v>0</v>
      </c>
      <c r="G187" s="595"/>
      <c r="H187" s="595"/>
      <c r="I187" s="596"/>
    </row>
    <row r="188" spans="1:64" ht="20.100000000000001" hidden="1" customHeight="1">
      <c r="A188" s="505" t="s">
        <v>203</v>
      </c>
      <c r="B188" s="526"/>
      <c r="C188" s="535">
        <f>IF(C183+C184&gt;C187,MIN(C178,C183+C184),IF(AND(C172+C178+C190+C193+C194+C195+C196+C197&gt;0,C189&gt;C187),C183+C184,0))</f>
        <v>0</v>
      </c>
      <c r="D188" s="535">
        <f>IF(D183+D184&gt;D187,MIN(D178,D183+D184),IF(AND(D172+D178+D190+D193+D194+D195+D196+D197&gt;0,D189&gt;D187),D183+D184,0))</f>
        <v>0</v>
      </c>
      <c r="E188" s="535">
        <f>IF(E183+E184&gt;E187,MIN(E178,E183+E184),IF(AND(E172+E178+E190+E193+E194+E195+E196+E197&gt;0,E189&gt;E187),E183+E184,0))</f>
        <v>0</v>
      </c>
      <c r="F188" s="535">
        <f>IF(F183+F184&gt;F187,MIN(F178,F183+F184),IF(AND(F172+F178+F190+F193+F194+F195+F196+F197&gt;0,F189&gt;F187),F183+F184,0))</f>
        <v>0</v>
      </c>
      <c r="G188" s="595"/>
      <c r="H188" s="595"/>
      <c r="I188" s="596"/>
    </row>
    <row r="189" spans="1:64" ht="20.100000000000001" hidden="1" customHeight="1">
      <c r="A189" s="600"/>
      <c r="B189" s="526"/>
      <c r="C189" s="535">
        <f>IF(AND(C178&gt;0,C183+C184+C211&gt;100),C183+C184+C211,0)</f>
        <v>0</v>
      </c>
      <c r="D189" s="535">
        <f>IF(AND(D178&gt;0,D183+D184+D211&gt;100),D183+D184+D211,0)</f>
        <v>0</v>
      </c>
      <c r="E189" s="535">
        <f>IF(AND(E178&gt;0,E183+E184+E211&gt;100),E183+E184+E211,0)</f>
        <v>0</v>
      </c>
      <c r="F189" s="535">
        <f>IF(AND(F178&gt;0,F183+F184+F211&gt;100),F183+F184+F211,0)</f>
        <v>0</v>
      </c>
      <c r="G189" s="595"/>
      <c r="H189" s="595"/>
      <c r="I189" s="596"/>
    </row>
    <row r="190" spans="1:64" ht="20.100000000000001" customHeight="1">
      <c r="A190" s="601" t="s">
        <v>204</v>
      </c>
      <c r="B190" s="541"/>
      <c r="C190" s="1715">
        <f>Zusatzeingaben!C192</f>
        <v>0</v>
      </c>
      <c r="D190" s="1715">
        <f>Zusatzeingaben!D192</f>
        <v>0</v>
      </c>
      <c r="E190" s="1715">
        <f>Zusatzeingaben!E192</f>
        <v>0</v>
      </c>
      <c r="F190" s="1715">
        <f>Zusatzeingaben!F192</f>
        <v>0</v>
      </c>
      <c r="G190" s="1715">
        <f>Zusatzeingaben!G192</f>
        <v>0</v>
      </c>
      <c r="H190" s="1715">
        <f>Zusatzeingaben!H192</f>
        <v>0</v>
      </c>
      <c r="I190" s="1716">
        <f>Zusatzeingaben!I192</f>
        <v>0</v>
      </c>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7"/>
      <c r="AY190" s="287"/>
      <c r="AZ190" s="287"/>
      <c r="BA190" s="287"/>
      <c r="BB190" s="287"/>
      <c r="BC190" s="287"/>
      <c r="BD190" s="287"/>
      <c r="BE190" s="287"/>
      <c r="BF190" s="287"/>
      <c r="BG190" s="287"/>
      <c r="BH190" s="287"/>
      <c r="BI190" s="287"/>
      <c r="BJ190" s="287"/>
      <c r="BK190" s="287"/>
      <c r="BL190" s="287"/>
    </row>
    <row r="191" spans="1:64" ht="20.100000000000001" customHeight="1">
      <c r="A191" s="605" t="str">
        <f>Zusatzeingaben!A193</f>
        <v xml:space="preserve">Unterhalt </v>
      </c>
      <c r="B191" s="606"/>
      <c r="C191" s="1742">
        <f>Zusatzeingaben!C193</f>
        <v>0</v>
      </c>
      <c r="D191" s="1742">
        <f>Zusatzeingaben!D193</f>
        <v>0</v>
      </c>
      <c r="E191" s="1742">
        <f>Zusatzeingaben!E193</f>
        <v>0</v>
      </c>
      <c r="F191" s="1742">
        <f>Zusatzeingaben!F193</f>
        <v>0</v>
      </c>
      <c r="G191" s="1742">
        <f>Zusatzeingaben!G193</f>
        <v>0</v>
      </c>
      <c r="H191" s="1742">
        <f>Zusatzeingaben!H193</f>
        <v>0</v>
      </c>
      <c r="I191" s="1743">
        <f>Zusatzeingaben!I193</f>
        <v>0</v>
      </c>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287"/>
      <c r="BJ191" s="287"/>
      <c r="BK191" s="287"/>
      <c r="BL191" s="287"/>
    </row>
    <row r="192" spans="1:64" ht="20.100000000000001" customHeight="1">
      <c r="A192" s="102" t="s">
        <v>205</v>
      </c>
      <c r="B192" s="359"/>
      <c r="C192" s="338"/>
      <c r="D192" s="338"/>
      <c r="E192" s="1744">
        <f>Zusatzeingaben!E194</f>
        <v>0</v>
      </c>
      <c r="F192" s="1744">
        <f>Zusatzeingaben!F194</f>
        <v>0</v>
      </c>
      <c r="G192" s="1744">
        <f>Zusatzeingaben!G194</f>
        <v>0</v>
      </c>
      <c r="H192" s="1744">
        <f>Zusatzeingaben!H194</f>
        <v>0</v>
      </c>
      <c r="I192" s="1745">
        <f>Zusatzeingaben!I194</f>
        <v>0</v>
      </c>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c r="AH192" s="287"/>
      <c r="AI192" s="287"/>
      <c r="AJ192" s="287"/>
      <c r="AK192" s="287"/>
      <c r="AL192" s="287"/>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287"/>
      <c r="BJ192" s="287"/>
      <c r="BK192" s="287"/>
      <c r="BL192" s="287"/>
    </row>
    <row r="193" spans="1:64" ht="20.100000000000001" hidden="1" customHeight="1">
      <c r="A193" s="401"/>
      <c r="B193" s="506"/>
      <c r="C193" s="462">
        <f>C191</f>
        <v>0</v>
      </c>
      <c r="D193" s="462">
        <f>D191</f>
        <v>0</v>
      </c>
      <c r="E193" s="462">
        <f>E191+E192</f>
        <v>0</v>
      </c>
      <c r="F193" s="462">
        <f>F191+F192</f>
        <v>0</v>
      </c>
      <c r="G193" s="462">
        <f>G191+G192</f>
        <v>0</v>
      </c>
      <c r="H193" s="462">
        <f>H191+H192</f>
        <v>0</v>
      </c>
      <c r="I193" s="365">
        <f>I191+I192</f>
        <v>0</v>
      </c>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row>
    <row r="194" spans="1:64" ht="20.100000000000001" customHeight="1">
      <c r="A194" s="611" t="str">
        <f>Zusatzeingaben!A196</f>
        <v>Arbeitslosengeld</v>
      </c>
      <c r="B194" s="506"/>
      <c r="C194" s="1720">
        <f>Zusatzeingaben!C196</f>
        <v>0</v>
      </c>
      <c r="D194" s="1720">
        <f>Zusatzeingaben!D196</f>
        <v>0</v>
      </c>
      <c r="E194" s="1720">
        <f>Zusatzeingaben!E196</f>
        <v>0</v>
      </c>
      <c r="F194" s="1720">
        <f>Zusatzeingaben!F196</f>
        <v>0</v>
      </c>
      <c r="G194" s="1720">
        <f>Zusatzeingaben!G196</f>
        <v>0</v>
      </c>
      <c r="H194" s="1720">
        <f>Zusatzeingaben!H196</f>
        <v>0</v>
      </c>
      <c r="I194" s="1721">
        <f>Zusatzeingaben!I196</f>
        <v>0</v>
      </c>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287"/>
      <c r="AJ194" s="287"/>
      <c r="AK194" s="287"/>
      <c r="AL194" s="287"/>
      <c r="AM194" s="287"/>
      <c r="AN194" s="287"/>
      <c r="AO194" s="287"/>
      <c r="AP194" s="287"/>
      <c r="AQ194" s="287"/>
      <c r="AR194" s="287"/>
      <c r="AS194" s="287"/>
      <c r="AT194" s="287"/>
      <c r="AU194" s="287"/>
      <c r="AV194" s="287"/>
      <c r="AW194" s="287"/>
      <c r="AX194" s="287"/>
      <c r="AY194" s="287"/>
      <c r="AZ194" s="287"/>
      <c r="BA194" s="287"/>
      <c r="BB194" s="287"/>
      <c r="BC194" s="287"/>
      <c r="BD194" s="287"/>
      <c r="BE194" s="287"/>
      <c r="BF194" s="287"/>
      <c r="BG194" s="287"/>
      <c r="BH194" s="287"/>
      <c r="BI194" s="287"/>
      <c r="BJ194" s="287"/>
      <c r="BK194" s="287"/>
      <c r="BL194" s="287"/>
    </row>
    <row r="195" spans="1:64" ht="20.100000000000001" customHeight="1">
      <c r="A195" s="600" t="s">
        <v>92</v>
      </c>
      <c r="B195" s="506"/>
      <c r="C195" s="1720">
        <f>Zusatzeingaben!C197</f>
        <v>0</v>
      </c>
      <c r="D195" s="1720">
        <f>Zusatzeingaben!D197</f>
        <v>0</v>
      </c>
      <c r="E195" s="462"/>
      <c r="F195" s="462"/>
      <c r="G195" s="462"/>
      <c r="H195" s="462"/>
      <c r="I195" s="365"/>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7"/>
      <c r="AN195" s="287"/>
      <c r="AO195" s="287"/>
      <c r="AP195" s="287"/>
      <c r="AQ195" s="287"/>
      <c r="AR195" s="287"/>
      <c r="AS195" s="287"/>
      <c r="AT195" s="287"/>
      <c r="AU195" s="287"/>
      <c r="AV195" s="287"/>
      <c r="AW195" s="287"/>
      <c r="AX195" s="287"/>
      <c r="AY195" s="287"/>
      <c r="AZ195" s="287"/>
      <c r="BA195" s="287"/>
      <c r="BB195" s="287"/>
      <c r="BC195" s="287"/>
      <c r="BD195" s="287"/>
      <c r="BE195" s="287"/>
      <c r="BF195" s="287"/>
      <c r="BG195" s="287"/>
      <c r="BH195" s="287"/>
      <c r="BI195" s="287"/>
      <c r="BJ195" s="287"/>
      <c r="BK195" s="287"/>
      <c r="BL195" s="287"/>
    </row>
    <row r="196" spans="1:64" ht="20.100000000000001" customHeight="1">
      <c r="A196" s="464" t="str">
        <f>Zusatzeingaben!A198</f>
        <v>Leistungen der Renten- und Krankenvers. (siehe Liste)</v>
      </c>
      <c r="B196" s="359"/>
      <c r="C196" s="457">
        <f>Zusatzeingaben!C198</f>
        <v>0</v>
      </c>
      <c r="D196" s="457">
        <f>Zusatzeingaben!D198</f>
        <v>0</v>
      </c>
      <c r="E196" s="457">
        <f>Zusatzeingaben!E198</f>
        <v>0</v>
      </c>
      <c r="F196" s="457">
        <f>Zusatzeingaben!F198</f>
        <v>0</v>
      </c>
      <c r="G196" s="457">
        <f>Zusatzeingaben!G198</f>
        <v>0</v>
      </c>
      <c r="H196" s="457">
        <f>Zusatzeingaben!H198</f>
        <v>0</v>
      </c>
      <c r="I196" s="529">
        <f>Zusatzeingaben!I198</f>
        <v>0</v>
      </c>
      <c r="J196" s="287"/>
      <c r="K196" s="287"/>
      <c r="L196" s="287"/>
      <c r="M196" s="287"/>
      <c r="N196" s="287"/>
      <c r="O196" s="287"/>
      <c r="P196" s="287"/>
      <c r="Q196" s="287"/>
      <c r="R196" s="287"/>
      <c r="S196" s="287"/>
      <c r="T196" s="287"/>
      <c r="U196" s="287"/>
      <c r="V196" s="287"/>
      <c r="W196" s="287"/>
      <c r="X196" s="287"/>
      <c r="Y196" s="287"/>
      <c r="Z196" s="287"/>
      <c r="AA196" s="287"/>
      <c r="AB196" s="287"/>
      <c r="AC196" s="287"/>
      <c r="AD196" s="287"/>
      <c r="AE196" s="287"/>
      <c r="AF196" s="287"/>
      <c r="AG196" s="287"/>
      <c r="AH196" s="287"/>
      <c r="AI196" s="287"/>
      <c r="AJ196" s="287"/>
      <c r="AK196" s="287"/>
      <c r="AL196" s="287"/>
      <c r="AM196" s="287"/>
      <c r="AN196" s="287"/>
      <c r="AO196" s="287"/>
      <c r="AP196" s="287"/>
      <c r="AQ196" s="287"/>
      <c r="AR196" s="287"/>
      <c r="AS196" s="287"/>
      <c r="AT196" s="287"/>
      <c r="AU196" s="287"/>
      <c r="AV196" s="287"/>
      <c r="AW196" s="287"/>
      <c r="AX196" s="287"/>
      <c r="AY196" s="287"/>
      <c r="AZ196" s="287"/>
      <c r="BA196" s="287"/>
      <c r="BB196" s="287"/>
      <c r="BC196" s="287"/>
      <c r="BD196" s="287"/>
      <c r="BE196" s="287"/>
      <c r="BF196" s="287"/>
      <c r="BG196" s="287"/>
      <c r="BH196" s="287"/>
      <c r="BI196" s="287"/>
      <c r="BJ196" s="287"/>
      <c r="BK196" s="287"/>
      <c r="BL196" s="287"/>
    </row>
    <row r="197" spans="1:64" ht="20.100000000000001" customHeight="1">
      <c r="A197" s="481" t="str">
        <f>Zusatzeingaben!A199</f>
        <v>sonstiges Einkommen</v>
      </c>
      <c r="B197" s="445"/>
      <c r="C197" s="482">
        <f>Zusatzeingaben!C199</f>
        <v>0</v>
      </c>
      <c r="D197" s="482">
        <f>Zusatzeingaben!D199</f>
        <v>0</v>
      </c>
      <c r="E197" s="482">
        <f>Zusatzeingaben!E199</f>
        <v>0</v>
      </c>
      <c r="F197" s="482">
        <f>Zusatzeingaben!F199</f>
        <v>0</v>
      </c>
      <c r="G197" s="482">
        <f>Zusatzeingaben!G199</f>
        <v>0</v>
      </c>
      <c r="H197" s="482">
        <f>Zusatzeingaben!H199</f>
        <v>0</v>
      </c>
      <c r="I197" s="532">
        <f>Zusatzeingaben!I199</f>
        <v>0</v>
      </c>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287"/>
      <c r="AJ197" s="287"/>
      <c r="AK197" s="287"/>
      <c r="AL197" s="287"/>
      <c r="AM197" s="287"/>
      <c r="AN197" s="287"/>
      <c r="AO197" s="287"/>
      <c r="AP197" s="287"/>
      <c r="AQ197" s="287"/>
      <c r="AR197" s="287"/>
      <c r="AS197" s="287"/>
      <c r="AT197" s="287"/>
      <c r="AU197" s="287"/>
      <c r="AV197" s="287"/>
      <c r="AW197" s="287"/>
      <c r="AX197" s="287"/>
      <c r="AY197" s="287"/>
      <c r="AZ197" s="287"/>
      <c r="BA197" s="287"/>
      <c r="BB197" s="287"/>
      <c r="BC197" s="287"/>
      <c r="BD197" s="287"/>
      <c r="BE197" s="287"/>
      <c r="BF197" s="287"/>
      <c r="BG197" s="287"/>
      <c r="BH197" s="287"/>
      <c r="BI197" s="287"/>
      <c r="BJ197" s="287"/>
      <c r="BK197" s="287"/>
      <c r="BL197" s="287"/>
    </row>
    <row r="198" spans="1:64" ht="20.100000000000001" hidden="1" customHeight="1">
      <c r="A198" s="613"/>
      <c r="B198" s="526"/>
      <c r="C198" s="527">
        <f t="shared" ref="C198:I198" si="62">C172+C178+C190+C193+C194+C195+C196+C197</f>
        <v>0</v>
      </c>
      <c r="D198" s="527">
        <f t="shared" si="62"/>
        <v>0</v>
      </c>
      <c r="E198" s="527">
        <f t="shared" si="62"/>
        <v>0</v>
      </c>
      <c r="F198" s="527">
        <f t="shared" si="62"/>
        <v>0</v>
      </c>
      <c r="G198" s="527">
        <f t="shared" si="62"/>
        <v>0</v>
      </c>
      <c r="H198" s="527">
        <f t="shared" si="62"/>
        <v>0</v>
      </c>
      <c r="I198" s="527">
        <f t="shared" si="62"/>
        <v>0</v>
      </c>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c r="AH198" s="287"/>
      <c r="AI198" s="287"/>
      <c r="AJ198" s="287"/>
      <c r="AK198" s="287"/>
      <c r="AL198" s="287"/>
      <c r="AM198" s="287"/>
      <c r="AN198" s="287"/>
      <c r="AO198" s="287"/>
      <c r="AP198" s="287"/>
      <c r="AQ198" s="287"/>
      <c r="AR198" s="287"/>
      <c r="AS198" s="287"/>
      <c r="AT198" s="287"/>
      <c r="AU198" s="287"/>
      <c r="AV198" s="287"/>
      <c r="AW198" s="287"/>
      <c r="AX198" s="287"/>
      <c r="AY198" s="287"/>
      <c r="AZ198" s="287"/>
      <c r="BA198" s="287"/>
      <c r="BB198" s="287"/>
      <c r="BC198" s="287"/>
      <c r="BD198" s="287"/>
      <c r="BE198" s="287"/>
      <c r="BF198" s="287"/>
      <c r="BG198" s="287"/>
      <c r="BH198" s="287"/>
      <c r="BI198" s="287"/>
      <c r="BJ198" s="287"/>
      <c r="BK198" s="287"/>
      <c r="BL198" s="287"/>
    </row>
    <row r="199" spans="1:64" ht="21" hidden="1" customHeight="1">
      <c r="A199" s="614" t="s">
        <v>208</v>
      </c>
      <c r="B199" s="341"/>
      <c r="C199" s="341">
        <f t="shared" ref="C199:I199" si="63">C190+C193+C194+C195+C196+C197+C141+C139+C172+C178</f>
        <v>0</v>
      </c>
      <c r="D199" s="341">
        <f t="shared" si="63"/>
        <v>0</v>
      </c>
      <c r="E199" s="341">
        <f t="shared" si="63"/>
        <v>0</v>
      </c>
      <c r="F199" s="341">
        <f t="shared" si="63"/>
        <v>0</v>
      </c>
      <c r="G199" s="341">
        <f t="shared" si="63"/>
        <v>0</v>
      </c>
      <c r="H199" s="341">
        <f t="shared" si="63"/>
        <v>0</v>
      </c>
      <c r="I199" s="341">
        <f t="shared" si="63"/>
        <v>0</v>
      </c>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287"/>
      <c r="AJ199" s="287"/>
      <c r="AK199" s="287"/>
      <c r="AL199" s="287"/>
      <c r="AM199" s="287"/>
      <c r="AN199" s="287"/>
      <c r="AO199" s="287"/>
      <c r="AP199" s="287"/>
      <c r="AQ199" s="287"/>
      <c r="AR199" s="287"/>
      <c r="AS199" s="287"/>
      <c r="AT199" s="287"/>
      <c r="AU199" s="287"/>
      <c r="AV199" s="287"/>
      <c r="AW199" s="287"/>
      <c r="AX199" s="287"/>
      <c r="AY199" s="287"/>
      <c r="AZ199" s="287"/>
      <c r="BA199" s="287"/>
      <c r="BB199" s="287"/>
      <c r="BC199" s="287"/>
      <c r="BD199" s="287"/>
      <c r="BE199" s="287"/>
      <c r="BF199" s="287"/>
      <c r="BG199" s="287"/>
      <c r="BH199" s="287"/>
      <c r="BI199" s="287"/>
      <c r="BJ199" s="287"/>
      <c r="BK199" s="287"/>
      <c r="BL199" s="287"/>
    </row>
    <row r="200" spans="1:64" ht="22.15" customHeight="1">
      <c r="A200" s="615" t="s">
        <v>209</v>
      </c>
      <c r="B200" s="616" t="s">
        <v>141</v>
      </c>
      <c r="C200" s="616" t="str">
        <f t="shared" ref="C200:I200" si="64">C4</f>
        <v>Antragsteller</v>
      </c>
      <c r="D200" s="616" t="str">
        <f t="shared" si="64"/>
        <v>Partner(in)</v>
      </c>
      <c r="E200" s="616" t="str">
        <f t="shared" si="64"/>
        <v>Kind 1</v>
      </c>
      <c r="F200" s="616" t="str">
        <f t="shared" si="64"/>
        <v>Kind 2</v>
      </c>
      <c r="G200" s="616" t="str">
        <f t="shared" si="64"/>
        <v>Kind 3</v>
      </c>
      <c r="H200" s="616" t="str">
        <f t="shared" si="64"/>
        <v>Kind 4</v>
      </c>
      <c r="I200" s="617" t="str">
        <f t="shared" si="64"/>
        <v>Kind 5</v>
      </c>
      <c r="J200" s="287"/>
      <c r="K200" s="287"/>
      <c r="L200" s="287"/>
      <c r="M200" s="287"/>
      <c r="N200" s="287"/>
      <c r="O200" s="287"/>
      <c r="P200" s="287"/>
      <c r="Q200" s="287"/>
      <c r="R200" s="287"/>
      <c r="S200" s="287"/>
      <c r="T200" s="287"/>
      <c r="U200" s="287"/>
      <c r="V200" s="287"/>
      <c r="W200" s="287"/>
      <c r="X200" s="287"/>
      <c r="Y200" s="287"/>
      <c r="Z200" s="287"/>
      <c r="AA200" s="287"/>
      <c r="AB200" s="287"/>
      <c r="AC200" s="287"/>
      <c r="AD200" s="287"/>
      <c r="AE200" s="287"/>
      <c r="AF200" s="287"/>
      <c r="AG200" s="287"/>
      <c r="AH200" s="287"/>
      <c r="AI200" s="287"/>
      <c r="AJ200" s="287"/>
      <c r="AK200" s="287"/>
      <c r="AL200" s="287"/>
      <c r="AM200" s="287"/>
      <c r="AN200" s="287"/>
      <c r="AO200" s="287"/>
      <c r="AP200" s="287"/>
      <c r="AQ200" s="287"/>
      <c r="AR200" s="287"/>
      <c r="AS200" s="287"/>
      <c r="AT200" s="287"/>
      <c r="AU200" s="287"/>
      <c r="AV200" s="287"/>
      <c r="AW200" s="287"/>
      <c r="AX200" s="287"/>
      <c r="AY200" s="287"/>
      <c r="AZ200" s="287"/>
      <c r="BA200" s="287"/>
      <c r="BB200" s="287"/>
      <c r="BC200" s="287"/>
      <c r="BD200" s="287"/>
      <c r="BE200" s="287"/>
      <c r="BF200" s="287"/>
      <c r="BG200" s="287"/>
      <c r="BH200" s="287"/>
      <c r="BI200" s="287"/>
      <c r="BJ200" s="287"/>
      <c r="BK200" s="287"/>
      <c r="BL200" s="287"/>
    </row>
    <row r="201" spans="1:64" ht="20.100000000000001" customHeight="1">
      <c r="A201" s="303" t="s">
        <v>2359</v>
      </c>
      <c r="B201" s="359"/>
      <c r="C201" s="522">
        <f>IF(AND(C22&gt;17,C199&gt;0),30,0)</f>
        <v>0</v>
      </c>
      <c r="D201" s="522">
        <f>IF(AND(D22&gt;17,D199&gt;0),30,0)</f>
        <v>0</v>
      </c>
      <c r="E201" s="522">
        <f>IF(AND(E18&gt;17,E18&lt;113,E199&gt;0),30,0)</f>
        <v>0</v>
      </c>
      <c r="F201" s="522">
        <f>IF(AND(F18&gt;17,F18&lt;113,F199&gt;0),30,0)</f>
        <v>0</v>
      </c>
      <c r="G201" s="522">
        <f>IF(AND(G18&gt;17,G18&lt;113,G199&gt;0),30,0)</f>
        <v>0</v>
      </c>
      <c r="H201" s="522">
        <f>IF(AND(H18&gt;17,H18&lt;113,H199&gt;0),30,0)</f>
        <v>0</v>
      </c>
      <c r="I201" s="523">
        <f>IF(AND(I18&gt;17,I18&lt;113,I199&gt;0),30,0)</f>
        <v>0</v>
      </c>
      <c r="J201" s="287"/>
      <c r="K201" s="287"/>
      <c r="L201" s="287"/>
      <c r="M201" s="287"/>
      <c r="N201" s="287"/>
      <c r="O201" s="287"/>
      <c r="P201" s="287"/>
      <c r="Q201" s="287"/>
      <c r="R201" s="287"/>
      <c r="S201" s="287"/>
      <c r="T201" s="287"/>
      <c r="U201" s="287"/>
      <c r="V201" s="287"/>
      <c r="W201" s="287"/>
      <c r="X201" s="287"/>
      <c r="Y201" s="287"/>
      <c r="Z201" s="287"/>
      <c r="AA201" s="287"/>
      <c r="AB201" s="287"/>
      <c r="AC201" s="287"/>
      <c r="AD201" s="287"/>
      <c r="AE201" s="287"/>
      <c r="AF201" s="287"/>
      <c r="AG201" s="287"/>
      <c r="AH201" s="287"/>
      <c r="AI201" s="287"/>
      <c r="AJ201" s="287"/>
      <c r="AK201" s="287"/>
      <c r="AL201" s="287"/>
      <c r="AM201" s="287"/>
      <c r="AN201" s="287"/>
      <c r="AO201" s="287"/>
      <c r="AP201" s="287"/>
      <c r="AQ201" s="287"/>
      <c r="AR201" s="287"/>
      <c r="AS201" s="287"/>
      <c r="AT201" s="287"/>
      <c r="AU201" s="287"/>
      <c r="AV201" s="287"/>
      <c r="AW201" s="287"/>
      <c r="AX201" s="287"/>
      <c r="AY201" s="287"/>
      <c r="AZ201" s="287"/>
      <c r="BA201" s="287"/>
      <c r="BB201" s="287"/>
      <c r="BC201" s="287"/>
      <c r="BD201" s="287"/>
      <c r="BE201" s="287"/>
      <c r="BF201" s="287"/>
      <c r="BG201" s="287"/>
      <c r="BH201" s="287"/>
      <c r="BI201" s="287"/>
      <c r="BJ201" s="287"/>
      <c r="BK201" s="287"/>
      <c r="BL201" s="287"/>
    </row>
    <row r="202" spans="1:64" ht="20.100000000000001" customHeight="1">
      <c r="A202" s="303" t="s">
        <v>211</v>
      </c>
      <c r="B202" s="359"/>
      <c r="C202" s="457">
        <f>Zusatzeingaben!C204</f>
        <v>0</v>
      </c>
      <c r="D202" s="457">
        <f>Zusatzeingaben!D204</f>
        <v>0</v>
      </c>
      <c r="E202" s="457">
        <f>Zusatzeingaben!E204</f>
        <v>0</v>
      </c>
      <c r="F202" s="457">
        <f>Zusatzeingaben!F204</f>
        <v>0</v>
      </c>
      <c r="G202" s="457">
        <f>Zusatzeingaben!G204</f>
        <v>0</v>
      </c>
      <c r="H202" s="457">
        <f>Zusatzeingaben!H204</f>
        <v>0</v>
      </c>
      <c r="I202" s="529">
        <f>Zusatzeingaben!I204</f>
        <v>0</v>
      </c>
      <c r="J202" s="287"/>
      <c r="K202" s="287"/>
      <c r="L202" s="287"/>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c r="AH202" s="287"/>
      <c r="AI202" s="287"/>
      <c r="AJ202" s="287"/>
      <c r="AK202" s="287"/>
      <c r="AL202" s="287"/>
      <c r="AM202" s="287"/>
      <c r="AN202" s="287"/>
      <c r="AO202" s="287"/>
      <c r="AP202" s="287"/>
      <c r="AQ202" s="287"/>
      <c r="AR202" s="287"/>
      <c r="AS202" s="287"/>
      <c r="AT202" s="287"/>
      <c r="AU202" s="287"/>
      <c r="AV202" s="287"/>
      <c r="AW202" s="287"/>
      <c r="AX202" s="287"/>
      <c r="AY202" s="287"/>
      <c r="AZ202" s="287"/>
      <c r="BA202" s="287"/>
      <c r="BB202" s="287"/>
      <c r="BC202" s="287"/>
      <c r="BD202" s="287"/>
      <c r="BE202" s="287"/>
      <c r="BF202" s="287"/>
      <c r="BG202" s="287"/>
      <c r="BH202" s="287"/>
      <c r="BI202" s="287"/>
      <c r="BJ202" s="287"/>
      <c r="BK202" s="287"/>
      <c r="BL202" s="287"/>
    </row>
    <row r="203" spans="1:64" ht="20.100000000000001" customHeight="1">
      <c r="A203" s="323" t="s">
        <v>71</v>
      </c>
      <c r="B203" s="606"/>
      <c r="C203" s="1742">
        <f>Zusatzeingaben!C205</f>
        <v>0</v>
      </c>
      <c r="D203" s="1742">
        <f>Zusatzeingaben!D205</f>
        <v>0</v>
      </c>
      <c r="E203" s="1742">
        <f>Zusatzeingaben!E205</f>
        <v>0</v>
      </c>
      <c r="F203" s="1742">
        <f>Zusatzeingaben!F205</f>
        <v>0</v>
      </c>
      <c r="G203" s="1742">
        <f>Zusatzeingaben!G205</f>
        <v>0</v>
      </c>
      <c r="H203" s="341">
        <f>Zusatzeingaben!H205</f>
        <v>0</v>
      </c>
      <c r="I203" s="373">
        <f>Zusatzeingaben!I205</f>
        <v>0</v>
      </c>
      <c r="J203" s="405"/>
    </row>
    <row r="204" spans="1:64" ht="20.100000000000001" customHeight="1">
      <c r="A204" s="625" t="s">
        <v>2360</v>
      </c>
      <c r="B204" s="541"/>
      <c r="C204" s="1736"/>
      <c r="D204" s="1736"/>
      <c r="E204" s="1736"/>
      <c r="F204" s="1736"/>
      <c r="G204" s="1736"/>
      <c r="H204" s="1736"/>
      <c r="I204" s="1737"/>
    </row>
    <row r="205" spans="1:64" ht="20.100000000000001" customHeight="1">
      <c r="A205" s="628" t="s">
        <v>2361</v>
      </c>
      <c r="B205" s="506"/>
      <c r="C205" s="1746" t="b">
        <f>FALSE()</f>
        <v>0</v>
      </c>
      <c r="D205" s="1746" t="b">
        <f>FALSE()</f>
        <v>0</v>
      </c>
      <c r="E205" s="1746" t="b">
        <f>FALSE()</f>
        <v>0</v>
      </c>
      <c r="F205" s="1746" t="b">
        <f>FALSE()</f>
        <v>0</v>
      </c>
      <c r="G205" s="462"/>
      <c r="H205" s="462"/>
      <c r="I205" s="365"/>
    </row>
    <row r="206" spans="1:64" ht="20.100000000000001" customHeight="1">
      <c r="A206" s="1747" t="s">
        <v>2362</v>
      </c>
      <c r="B206" s="359"/>
      <c r="C206" s="457">
        <f>Zusatzeingaben!C209</f>
        <v>0</v>
      </c>
      <c r="D206" s="457">
        <f>Zusatzeingaben!D209</f>
        <v>0</v>
      </c>
      <c r="E206" s="457">
        <f>Zusatzeingaben!E209</f>
        <v>0</v>
      </c>
      <c r="F206" s="457">
        <f>Zusatzeingaben!F209</f>
        <v>0</v>
      </c>
      <c r="G206" s="338"/>
      <c r="H206" s="338"/>
      <c r="I206" s="339"/>
    </row>
    <row r="207" spans="1:64" ht="15.75">
      <c r="A207" s="1747" t="s">
        <v>2363</v>
      </c>
      <c r="B207" s="359"/>
      <c r="C207" s="1708">
        <f>Zusatzeingaben!C210</f>
        <v>0</v>
      </c>
      <c r="D207" s="1708">
        <f>Zusatzeingaben!D210</f>
        <v>0</v>
      </c>
      <c r="E207" s="385"/>
      <c r="F207" s="385"/>
      <c r="G207" s="385"/>
      <c r="H207" s="385"/>
      <c r="I207" s="386"/>
    </row>
    <row r="208" spans="1:64" ht="15.75" hidden="1">
      <c r="A208" s="590"/>
      <c r="B208" s="526"/>
      <c r="C208" s="634">
        <f>IF(C207=1,C206*0.015,IF(C207&gt;1,5,C206*0.03))</f>
        <v>0</v>
      </c>
      <c r="D208" s="634">
        <f>IF(D207=1,D206*0.015,IF(D207&gt;1,5,D206*0.03))</f>
        <v>0</v>
      </c>
      <c r="E208" s="634">
        <f>E206*0.03</f>
        <v>0</v>
      </c>
      <c r="F208" s="634">
        <f>F206*0.03</f>
        <v>0</v>
      </c>
      <c r="G208" s="634"/>
      <c r="H208" s="634"/>
      <c r="I208" s="635"/>
    </row>
    <row r="209" spans="1:64" ht="20.100000000000001" hidden="1" customHeight="1">
      <c r="A209" s="400"/>
      <c r="B209" s="636"/>
      <c r="C209" s="637">
        <f>IF(C208&lt;5,5,C208)</f>
        <v>5</v>
      </c>
      <c r="D209" s="637">
        <f>IF(D208&lt;5,5,D208)</f>
        <v>5</v>
      </c>
      <c r="E209" s="637">
        <f>IF(E208&lt;5,5,E208)</f>
        <v>5</v>
      </c>
      <c r="F209" s="637">
        <f>IF(F208&lt;5,5,F208)</f>
        <v>5</v>
      </c>
      <c r="G209" s="637"/>
      <c r="H209" s="637"/>
      <c r="I209" s="638"/>
    </row>
    <row r="210" spans="1:64" ht="20.100000000000001" hidden="1" customHeight="1">
      <c r="A210" s="400"/>
      <c r="B210" s="636"/>
      <c r="C210" s="637">
        <f>IF(Zusatzeingaben!C208=1,C209,0)</f>
        <v>0</v>
      </c>
      <c r="D210" s="637">
        <f>IF(Zusatzeingaben!D208=1,D209,0)</f>
        <v>0</v>
      </c>
      <c r="E210" s="637">
        <f>IF(Zusatzeingaben!E208=1,E209,0)</f>
        <v>0</v>
      </c>
      <c r="F210" s="637">
        <f>IF(Zusatzeingaben!F208=1,F209,0)</f>
        <v>0</v>
      </c>
      <c r="G210" s="637"/>
      <c r="H210" s="637"/>
      <c r="I210" s="638"/>
    </row>
    <row r="211" spans="1:64" ht="15.75" hidden="1">
      <c r="A211" s="639" t="s">
        <v>214</v>
      </c>
      <c r="B211" s="640"/>
      <c r="C211" s="641">
        <f t="shared" ref="C211:I211" si="65">C201+C202+C203+C210</f>
        <v>0</v>
      </c>
      <c r="D211" s="641">
        <f t="shared" si="65"/>
        <v>0</v>
      </c>
      <c r="E211" s="641">
        <f t="shared" si="65"/>
        <v>0</v>
      </c>
      <c r="F211" s="641">
        <f t="shared" si="65"/>
        <v>0</v>
      </c>
      <c r="G211" s="641">
        <f t="shared" si="65"/>
        <v>0</v>
      </c>
      <c r="H211" s="641">
        <f t="shared" si="65"/>
        <v>0</v>
      </c>
      <c r="I211" s="642">
        <f t="shared" si="65"/>
        <v>0</v>
      </c>
    </row>
    <row r="212" spans="1:64" ht="15.75" hidden="1">
      <c r="A212" s="639" t="s">
        <v>215</v>
      </c>
      <c r="B212" s="640"/>
      <c r="C212" s="641">
        <f t="shared" ref="C212:I212" si="66">C211+C124+C127+C147</f>
        <v>0</v>
      </c>
      <c r="D212" s="641">
        <f t="shared" si="66"/>
        <v>0</v>
      </c>
      <c r="E212" s="641">
        <f t="shared" si="66"/>
        <v>0</v>
      </c>
      <c r="F212" s="641">
        <f t="shared" si="66"/>
        <v>0</v>
      </c>
      <c r="G212" s="641">
        <f t="shared" si="66"/>
        <v>0</v>
      </c>
      <c r="H212" s="641">
        <f t="shared" si="66"/>
        <v>0</v>
      </c>
      <c r="I212" s="642">
        <f t="shared" si="66"/>
        <v>0</v>
      </c>
    </row>
    <row r="213" spans="1:64" ht="15.75" hidden="1">
      <c r="A213" s="643"/>
      <c r="B213" s="506"/>
      <c r="C213" s="462">
        <f t="shared" ref="C213:I213" si="67">IF(C212&lt;100,100,C212)</f>
        <v>100</v>
      </c>
      <c r="D213" s="462">
        <f t="shared" si="67"/>
        <v>100</v>
      </c>
      <c r="E213" s="462">
        <f t="shared" si="67"/>
        <v>100</v>
      </c>
      <c r="F213" s="462">
        <f t="shared" si="67"/>
        <v>100</v>
      </c>
      <c r="G213" s="462">
        <f t="shared" si="67"/>
        <v>100</v>
      </c>
      <c r="H213" s="462">
        <f t="shared" si="67"/>
        <v>100</v>
      </c>
      <c r="I213" s="365">
        <f t="shared" si="67"/>
        <v>100</v>
      </c>
    </row>
    <row r="214" spans="1:64" ht="15.75" hidden="1">
      <c r="A214" s="643"/>
      <c r="B214" s="506"/>
      <c r="C214" s="462">
        <f t="shared" ref="C214:I214" si="68">IF(C212&lt;200,200,C212)</f>
        <v>200</v>
      </c>
      <c r="D214" s="462">
        <f t="shared" si="68"/>
        <v>200</v>
      </c>
      <c r="E214" s="462">
        <f t="shared" si="68"/>
        <v>200</v>
      </c>
      <c r="F214" s="462">
        <f t="shared" si="68"/>
        <v>200</v>
      </c>
      <c r="G214" s="462">
        <f t="shared" si="68"/>
        <v>200</v>
      </c>
      <c r="H214" s="462">
        <f t="shared" si="68"/>
        <v>200</v>
      </c>
      <c r="I214" s="365">
        <f t="shared" si="68"/>
        <v>200</v>
      </c>
    </row>
    <row r="215" spans="1:64" ht="33" customHeight="1">
      <c r="A215" s="644" t="str">
        <f>Zusatzeingaben!A218</f>
        <v>Direktabzug: z.B. notwendige Ausgaben für die Einnahmen Kindergeld bis sonstiges Einkommen</v>
      </c>
      <c r="B215" s="359"/>
      <c r="C215" s="457">
        <f>Zusatzeingaben!C218</f>
        <v>0</v>
      </c>
      <c r="D215" s="457">
        <f>Zusatzeingaben!D218</f>
        <v>0</v>
      </c>
      <c r="E215" s="457">
        <f>Zusatzeingaben!E218</f>
        <v>0</v>
      </c>
      <c r="F215" s="457">
        <f>Zusatzeingaben!F218</f>
        <v>0</v>
      </c>
      <c r="G215" s="457">
        <f>Zusatzeingaben!G218</f>
        <v>0</v>
      </c>
      <c r="H215" s="457">
        <f>Zusatzeingaben!H218</f>
        <v>0</v>
      </c>
      <c r="I215" s="529">
        <f>Zusatzeingaben!I218</f>
        <v>0</v>
      </c>
    </row>
    <row r="216" spans="1:64" ht="20.100000000000001" customHeight="1">
      <c r="A216" s="303" t="s">
        <v>217</v>
      </c>
      <c r="B216" s="359"/>
      <c r="C216" s="457">
        <f>Zusatzeingaben!C219</f>
        <v>0</v>
      </c>
      <c r="D216" s="457">
        <f>Zusatzeingaben!D219</f>
        <v>0</v>
      </c>
      <c r="E216" s="338"/>
      <c r="F216" s="338"/>
      <c r="G216" s="338"/>
      <c r="H216" s="338"/>
      <c r="I216" s="339"/>
    </row>
    <row r="217" spans="1:64" ht="20.100000000000001" customHeight="1">
      <c r="A217" s="102" t="s">
        <v>219</v>
      </c>
      <c r="B217" s="655"/>
      <c r="C217" s="1708">
        <f>Zusatzeingaben!C221</f>
        <v>0</v>
      </c>
      <c r="D217" s="1708">
        <f>Zusatzeingaben!D221</f>
        <v>0</v>
      </c>
      <c r="E217" s="1708">
        <f>Zusatzeingaben!E221</f>
        <v>0</v>
      </c>
      <c r="F217" s="1708">
        <f>Zusatzeingaben!F221</f>
        <v>0</v>
      </c>
      <c r="G217" s="1708">
        <f>Zusatzeingaben!G221</f>
        <v>0</v>
      </c>
      <c r="H217" s="1708">
        <f>Zusatzeingaben!H221</f>
        <v>0</v>
      </c>
      <c r="I217" s="1709">
        <f>Zusatzeingaben!I221</f>
        <v>0</v>
      </c>
      <c r="J217" s="287"/>
      <c r="K217" s="287"/>
      <c r="L217" s="287"/>
      <c r="M217" s="287"/>
      <c r="N217" s="287"/>
      <c r="O217" s="287"/>
      <c r="P217" s="287"/>
      <c r="Q217" s="287"/>
      <c r="R217" s="287"/>
      <c r="S217" s="287"/>
      <c r="T217" s="287"/>
      <c r="U217" s="287"/>
      <c r="V217" s="287"/>
      <c r="W217" s="287"/>
      <c r="X217" s="287"/>
      <c r="Y217" s="287"/>
      <c r="Z217" s="287"/>
      <c r="AA217" s="287"/>
      <c r="AB217" s="287"/>
      <c r="AC217" s="287"/>
      <c r="AD217" s="287"/>
      <c r="AE217" s="287"/>
      <c r="AF217" s="287"/>
      <c r="AG217" s="287"/>
      <c r="AH217" s="287"/>
      <c r="AI217" s="287"/>
      <c r="AJ217" s="287"/>
      <c r="AK217" s="287"/>
      <c r="AL217" s="287"/>
      <c r="AM217" s="287"/>
      <c r="AN217" s="287"/>
      <c r="AO217" s="287"/>
      <c r="AP217" s="287"/>
      <c r="AQ217" s="287"/>
      <c r="AR217" s="287"/>
      <c r="AS217" s="287"/>
      <c r="AT217" s="287"/>
      <c r="AU217" s="287"/>
      <c r="AV217" s="287"/>
      <c r="AW217" s="287"/>
      <c r="AX217" s="287"/>
      <c r="AY217" s="287"/>
      <c r="AZ217" s="287"/>
      <c r="BA217" s="287"/>
      <c r="BB217" s="287"/>
      <c r="BC217" s="287"/>
      <c r="BD217" s="287"/>
      <c r="BE217" s="287"/>
      <c r="BF217" s="287"/>
      <c r="BG217" s="287"/>
      <c r="BH217" s="287"/>
      <c r="BI217" s="287"/>
      <c r="BJ217" s="287"/>
      <c r="BK217" s="287"/>
      <c r="BL217" s="287"/>
    </row>
    <row r="218" spans="1:64" ht="20.100000000000001" customHeight="1">
      <c r="A218" s="102" t="s">
        <v>220</v>
      </c>
      <c r="B218" s="655"/>
      <c r="C218" s="1708">
        <f>Zusatzeingaben!C222</f>
        <v>0</v>
      </c>
      <c r="D218" s="1708">
        <f>Zusatzeingaben!D222</f>
        <v>0</v>
      </c>
      <c r="E218" s="1708">
        <f>Zusatzeingaben!E222</f>
        <v>0</v>
      </c>
      <c r="F218" s="1708">
        <f>Zusatzeingaben!F222</f>
        <v>0</v>
      </c>
      <c r="G218" s="1708">
        <f>Zusatzeingaben!G222</f>
        <v>0</v>
      </c>
      <c r="H218" s="1708">
        <f>Zusatzeingaben!H222</f>
        <v>0</v>
      </c>
      <c r="I218" s="1709">
        <f>Zusatzeingaben!I222</f>
        <v>0</v>
      </c>
      <c r="J218" s="287"/>
      <c r="K218" s="287"/>
      <c r="L218" s="287"/>
      <c r="M218" s="287"/>
      <c r="N218" s="287"/>
      <c r="O218" s="287"/>
      <c r="P218" s="287"/>
      <c r="Q218" s="287"/>
      <c r="R218" s="287"/>
      <c r="S218" s="287"/>
      <c r="T218" s="287"/>
      <c r="U218" s="287"/>
      <c r="V218" s="287"/>
      <c r="W218" s="287"/>
      <c r="X218" s="287"/>
      <c r="Y218" s="287"/>
      <c r="Z218" s="287"/>
      <c r="AA218" s="287"/>
      <c r="AB218" s="287"/>
      <c r="AC218" s="287"/>
      <c r="AD218" s="287"/>
      <c r="AE218" s="287"/>
      <c r="AF218" s="287"/>
      <c r="AG218" s="287"/>
      <c r="AH218" s="287"/>
      <c r="AI218" s="287"/>
      <c r="AJ218" s="287"/>
      <c r="AK218" s="287"/>
      <c r="AL218" s="287"/>
      <c r="AM218" s="287"/>
      <c r="AN218" s="287"/>
      <c r="AO218" s="287"/>
      <c r="AP218" s="287"/>
      <c r="AQ218" s="287"/>
      <c r="AR218" s="287"/>
      <c r="AS218" s="287"/>
      <c r="AT218" s="287"/>
      <c r="AU218" s="287"/>
      <c r="AV218" s="287"/>
      <c r="AW218" s="287"/>
      <c r="AX218" s="287"/>
      <c r="AY218" s="287"/>
      <c r="AZ218" s="287"/>
      <c r="BA218" s="287"/>
      <c r="BB218" s="287"/>
      <c r="BC218" s="287"/>
      <c r="BD218" s="287"/>
      <c r="BE218" s="287"/>
      <c r="BF218" s="287"/>
      <c r="BG218" s="287"/>
      <c r="BH218" s="287"/>
      <c r="BI218" s="287"/>
      <c r="BJ218" s="287"/>
      <c r="BK218" s="287"/>
      <c r="BL218" s="287"/>
    </row>
    <row r="219" spans="1:64" ht="20.100000000000001" hidden="1" customHeight="1">
      <c r="A219" s="102"/>
      <c r="B219" s="655"/>
      <c r="C219" s="656">
        <f>IF(C218="1. PV",C33*0.3,IF(C218="2. PV",C33*0.6,IF(C218="3. PV",'Berechnung mit Einmalzahlung'!C177,0)))</f>
        <v>0</v>
      </c>
      <c r="D219" s="656">
        <f>IF(D218="1. PV",D33*0.3,IF(D218="2. PV",D33*0.6,IF(D218="3. PV",'Berechnung mit Einmalzahlung'!D177,0)))</f>
        <v>0</v>
      </c>
      <c r="E219" s="656">
        <f>IF(E218="1. PV",E33*0.3,IF(E218="2. PV",E33*0.6,IF(E218="3. PV",'Berechnung mit Einmalzahlung'!E177,0)))</f>
        <v>0</v>
      </c>
      <c r="F219" s="656">
        <f>IF(F218="1. PV",F33*0.3,IF(F218="2. PV",F33*0.6,IF(F218="3. PV",'Berechnung mit Einmalzahlung'!F177,0)))</f>
        <v>0</v>
      </c>
      <c r="G219" s="656">
        <f>IF(G218="1. PV",G33*0.3,IF(G218="2. PV",G33*0.6,IF(G218="3. PV",'Berechnung mit Einmalzahlung'!G177,0)))</f>
        <v>0</v>
      </c>
      <c r="H219" s="656">
        <f>IF(H218="1. PV",H33*0.3,IF(H218="2. PV",H33*0.6,IF(H218="3. PV",'Berechnung mit Einmalzahlung'!H177,0)))</f>
        <v>0</v>
      </c>
      <c r="I219" s="659">
        <f>IF(I218="1. PV",I33*0.3,IF(I218="2. PV",I33*0.6,IF(I218="3. PV",'Berechnung mit Einmalzahlung'!I177,0)))</f>
        <v>0</v>
      </c>
    </row>
    <row r="220" spans="1:64" ht="20.100000000000001" hidden="1" customHeight="1">
      <c r="A220" s="102"/>
      <c r="B220" s="655"/>
      <c r="C220" s="656">
        <f>IF(C218="1. PV",'Berechnung mit Einmalzahlung'!C179,IF(C218="2. PV",'Berechnung mit Einmalzahlung'!C177,IF(C218="3. PV",'Berechnung mit Einmalzahlung'!C177,0)))</f>
        <v>0</v>
      </c>
      <c r="D220" s="656">
        <f>IF(D218="1. PV",'Berechnung mit Einmalzahlung'!D179,IF(D218="2. PV",'Berechnung mit Einmalzahlung'!D177,IF(D218="3. PV",'Berechnung mit Einmalzahlung'!D177,0)))</f>
        <v>0</v>
      </c>
      <c r="E220" s="656">
        <f>IF(E218="1. PV",'Berechnung mit Einmalzahlung'!E179,IF(E218="2. PV",'Berechnung mit Einmalzahlung'!E177,IF(E218="3. PV",'Berechnung mit Einmalzahlung'!E177,0)))</f>
        <v>0</v>
      </c>
      <c r="F220" s="656">
        <f>IF(F218="1. PV",'Berechnung mit Einmalzahlung'!F179,IF(F218="2. PV",'Berechnung mit Einmalzahlung'!F177,IF(F218="3. PV",'Berechnung mit Einmalzahlung'!F177,0)))</f>
        <v>0</v>
      </c>
      <c r="G220" s="656">
        <f>IF(G218="1. PV",'Berechnung mit Einmalzahlung'!G179,IF(G218="2. PV",'Berechnung mit Einmalzahlung'!G177,IF(G218="3. PV",'Berechnung mit Einmalzahlung'!G177,0)))</f>
        <v>0</v>
      </c>
      <c r="H220" s="656">
        <f>IF(H218="1. PV",'Berechnung mit Einmalzahlung'!H179,IF(H218="2. PV",'Berechnung mit Einmalzahlung'!H177,IF(H218="3. PV",'Berechnung mit Einmalzahlung'!H177,0)))</f>
        <v>0</v>
      </c>
      <c r="I220" s="659">
        <f>IF(I218="1. PV",'Berechnung mit Einmalzahlung'!I179,IF(I218="2. PV",'Berechnung mit Einmalzahlung'!I177,IF(I218="3. PV",'Berechnung mit Einmalzahlung'!I177,0)))</f>
        <v>0</v>
      </c>
    </row>
    <row r="221" spans="1:64" ht="20.100000000000001" hidden="1" customHeight="1">
      <c r="A221" s="102"/>
      <c r="B221" s="655"/>
      <c r="C221" s="656">
        <f>IF(C222="unter 25",C220,C219)</f>
        <v>0</v>
      </c>
      <c r="D221" s="656">
        <f>IF(D222="unter 25",D220,D219)</f>
        <v>0</v>
      </c>
      <c r="E221" s="656">
        <f>IF(E222="unter 25",E220,E219)</f>
        <v>0</v>
      </c>
      <c r="F221" s="657">
        <f>F220</f>
        <v>0</v>
      </c>
      <c r="G221" s="657">
        <f>G220</f>
        <v>0</v>
      </c>
      <c r="H221" s="657">
        <f>H220</f>
        <v>0</v>
      </c>
      <c r="I221" s="658">
        <f>I220</f>
        <v>0</v>
      </c>
    </row>
    <row r="222" spans="1:64" ht="20.100000000000001" customHeight="1">
      <c r="A222" s="347" t="s">
        <v>2364</v>
      </c>
      <c r="B222" s="418"/>
      <c r="C222" s="1748">
        <f>Zusatzeingaben!C226</f>
        <v>0</v>
      </c>
      <c r="D222" s="1748">
        <f>Zusatzeingaben!D226</f>
        <v>0</v>
      </c>
      <c r="E222" s="1748">
        <f>Zusatzeingaben!E226</f>
        <v>0</v>
      </c>
      <c r="F222" s="1749"/>
      <c r="G222" s="1749"/>
      <c r="H222" s="1749"/>
      <c r="I222" s="1750"/>
    </row>
    <row r="223" spans="1:64" ht="20.100000000000001" hidden="1" customHeight="1">
      <c r="A223" s="1751" t="s">
        <v>232</v>
      </c>
      <c r="B223" s="394"/>
      <c r="C223" s="1752">
        <f>VLOOKUP(E2,Bedarfssätze!B7:C17,2)</f>
        <v>409</v>
      </c>
      <c r="D223" s="1752">
        <f>VLOOKUP(E2,Bedarfssätze!E7:F17,2)</f>
        <v>368</v>
      </c>
      <c r="E223" s="1752">
        <f>VLOOKUP(E2,Bedarfssätze!H7:I17,2)</f>
        <v>327</v>
      </c>
      <c r="F223" s="1752">
        <f>VLOOKUP(E2,Bedarfssätze!B26:C36,2)</f>
        <v>311</v>
      </c>
      <c r="G223" s="1752">
        <f>VLOOKUP(E2,Bedarfssätze!E26:F36,2)</f>
        <v>291</v>
      </c>
      <c r="H223" s="1752">
        <f>VLOOKUP(E2,Bedarfssätze!H26:I36,2)</f>
        <v>237</v>
      </c>
      <c r="I223" s="394"/>
    </row>
    <row r="224" spans="1:64" ht="20.100000000000001" customHeight="1">
      <c r="A224" s="671"/>
      <c r="B224" s="387"/>
      <c r="C224" s="1753" t="b">
        <f>FALSE()</f>
        <v>0</v>
      </c>
      <c r="D224" s="1753" t="b">
        <f>FALSE()</f>
        <v>0</v>
      </c>
      <c r="E224" s="687"/>
      <c r="F224" s="1754"/>
      <c r="G224" s="1754"/>
      <c r="H224" s="1754"/>
      <c r="I224" s="1754"/>
    </row>
    <row r="225" spans="1:64" ht="20.100000000000001" customHeight="1">
      <c r="A225" s="1754"/>
      <c r="B225" s="1754"/>
      <c r="C225" s="1754"/>
      <c r="D225" s="1754"/>
      <c r="E225" s="1754"/>
      <c r="F225" s="1754"/>
      <c r="G225" s="1754"/>
      <c r="H225" s="1754"/>
      <c r="I225" s="1754"/>
    </row>
    <row r="226" spans="1:64" ht="20.100000000000001" customHeight="1">
      <c r="A226" s="1755" t="s">
        <v>2365</v>
      </c>
      <c r="B226" s="1756">
        <f>IF(Änderung!B161&gt;0,Änderung!B161,"")</f>
        <v>409</v>
      </c>
      <c r="C226" s="1757"/>
      <c r="D226" s="394"/>
      <c r="E226" s="394"/>
      <c r="F226" s="394"/>
      <c r="G226" s="394"/>
      <c r="H226" s="394"/>
      <c r="I226" s="39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row>
    <row r="227" spans="1:64" ht="20.100000000000001" customHeight="1">
      <c r="A227" s="1758"/>
      <c r="B227" s="394"/>
      <c r="C227" s="394"/>
      <c r="D227" s="394"/>
      <c r="E227" s="394"/>
      <c r="F227" s="394"/>
      <c r="G227" s="394"/>
      <c r="H227" s="394"/>
      <c r="I227" s="394"/>
    </row>
    <row r="228" spans="1:64" ht="20.100000000000001" customHeight="1">
      <c r="A228" s="1754"/>
      <c r="B228" s="394"/>
      <c r="C228" s="394"/>
      <c r="D228" s="394"/>
      <c r="E228" s="394"/>
      <c r="F228" s="394"/>
      <c r="G228" s="394"/>
      <c r="H228" s="394"/>
      <c r="I228" s="394"/>
      <c r="J228" s="287"/>
      <c r="K228" s="287"/>
      <c r="L228" s="287"/>
      <c r="M228" s="287"/>
      <c r="N228" s="287"/>
      <c r="O228" s="287"/>
      <c r="P228" s="287"/>
      <c r="Q228" s="287"/>
      <c r="R228" s="287"/>
      <c r="S228" s="287"/>
      <c r="T228" s="287"/>
      <c r="U228" s="287"/>
      <c r="V228" s="287"/>
      <c r="W228" s="287"/>
      <c r="X228" s="287"/>
      <c r="Y228" s="287"/>
      <c r="Z228" s="287"/>
      <c r="AA228" s="287"/>
      <c r="AB228" s="287"/>
      <c r="AC228" s="287"/>
      <c r="AD228" s="287"/>
      <c r="AE228" s="287"/>
      <c r="AF228" s="287"/>
      <c r="AG228" s="287"/>
      <c r="AH228" s="287"/>
      <c r="AI228" s="287"/>
      <c r="AJ228" s="287"/>
      <c r="AK228" s="287"/>
      <c r="AL228" s="287"/>
      <c r="AM228" s="287"/>
      <c r="AN228" s="287"/>
      <c r="AO228" s="287"/>
      <c r="AP228" s="287"/>
      <c r="AQ228" s="287"/>
      <c r="AR228" s="287"/>
      <c r="AS228" s="287"/>
      <c r="AT228" s="287"/>
      <c r="AU228" s="287"/>
      <c r="AV228" s="287"/>
      <c r="AW228" s="287"/>
      <c r="AX228" s="287"/>
      <c r="AY228" s="287"/>
      <c r="AZ228" s="287"/>
      <c r="BA228" s="287"/>
      <c r="BB228" s="287"/>
      <c r="BC228" s="287"/>
      <c r="BD228" s="287"/>
      <c r="BE228" s="287"/>
      <c r="BF228" s="287"/>
      <c r="BG228" s="287"/>
      <c r="BH228" s="287"/>
      <c r="BI228" s="287"/>
      <c r="BJ228" s="287"/>
      <c r="BK228" s="287"/>
      <c r="BL228" s="287"/>
    </row>
    <row r="229" spans="1:64" ht="20.100000000000001" customHeight="1">
      <c r="A229" s="687"/>
      <c r="B229" s="687"/>
      <c r="C229" s="687"/>
      <c r="D229" s="687"/>
      <c r="E229" s="687"/>
      <c r="F229" s="687"/>
      <c r="G229" s="687"/>
      <c r="H229" s="687"/>
      <c r="I229" s="687"/>
    </row>
    <row r="230" spans="1:64" ht="20.100000000000001" customHeight="1">
      <c r="A230" s="1759"/>
      <c r="B230" s="394"/>
      <c r="C230" s="1754"/>
      <c r="D230" s="730"/>
      <c r="E230" s="730"/>
      <c r="F230" s="730"/>
      <c r="G230" s="730"/>
      <c r="H230" s="730"/>
      <c r="I230" s="730"/>
    </row>
    <row r="231" spans="1:64" ht="20.100000000000001" customHeight="1">
      <c r="A231" s="282"/>
      <c r="B231" s="1760"/>
      <c r="C231" s="1760"/>
      <c r="D231" s="1760"/>
      <c r="E231" s="1760"/>
      <c r="F231" s="1760"/>
      <c r="G231" s="1760"/>
      <c r="H231" s="1760"/>
      <c r="I231" s="1760"/>
    </row>
    <row r="232" spans="1:64" ht="20.100000000000001" customHeight="1">
      <c r="A232" s="282"/>
      <c r="B232" s="1760"/>
      <c r="C232" s="1760"/>
      <c r="D232" s="1760"/>
      <c r="E232" s="1760"/>
      <c r="F232" s="1760"/>
      <c r="G232" s="1760"/>
      <c r="H232" s="1760"/>
      <c r="I232" s="1760"/>
    </row>
    <row r="233" spans="1:64" ht="20.100000000000001" customHeight="1">
      <c r="A233" s="282"/>
      <c r="B233" s="1760"/>
      <c r="C233" s="1760"/>
      <c r="D233" s="1760"/>
      <c r="E233" s="1760"/>
      <c r="F233" s="1760"/>
      <c r="G233" s="1760"/>
      <c r="H233" s="1760"/>
      <c r="I233" s="1760"/>
    </row>
    <row r="234" spans="1:64" ht="20.100000000000001" customHeight="1">
      <c r="A234" s="282"/>
      <c r="B234" s="1760"/>
      <c r="C234" s="1760"/>
      <c r="D234" s="1760"/>
      <c r="E234" s="1760"/>
      <c r="F234" s="1760"/>
      <c r="G234" s="1760"/>
      <c r="H234" s="1760"/>
      <c r="I234" s="1760"/>
    </row>
    <row r="235" spans="1:64" ht="20.100000000000001" customHeight="1">
      <c r="A235" s="282"/>
      <c r="B235" s="1760"/>
      <c r="C235" s="1760"/>
      <c r="D235" s="1760"/>
      <c r="E235" s="1760"/>
      <c r="F235" s="1760"/>
      <c r="G235" s="1760"/>
      <c r="H235" s="1760"/>
      <c r="I235" s="1760"/>
    </row>
    <row r="236" spans="1:64" ht="20.100000000000001" customHeight="1">
      <c r="A236" s="282"/>
      <c r="B236" s="1760"/>
      <c r="C236" s="1760"/>
      <c r="D236" s="1760"/>
      <c r="E236" s="1760"/>
      <c r="F236" s="1760"/>
      <c r="G236" s="1760"/>
      <c r="H236" s="1760"/>
      <c r="I236" s="1760"/>
    </row>
    <row r="237" spans="1:64" ht="20.100000000000001" customHeight="1">
      <c r="A237" s="282"/>
      <c r="B237" s="1760"/>
      <c r="C237" s="1760"/>
      <c r="D237" s="1760"/>
      <c r="E237" s="1760"/>
      <c r="F237" s="1760"/>
      <c r="G237" s="1760"/>
      <c r="H237" s="1760"/>
      <c r="I237" s="1760"/>
    </row>
    <row r="238" spans="1:64" ht="20.100000000000001" customHeight="1">
      <c r="A238" s="282"/>
      <c r="B238" s="1760"/>
      <c r="C238" s="1760"/>
      <c r="D238" s="1760"/>
      <c r="E238" s="1760"/>
      <c r="F238" s="1760"/>
      <c r="G238" s="1760"/>
      <c r="H238" s="1760"/>
      <c r="I238" s="1760"/>
    </row>
    <row r="239" spans="1:64" ht="20.100000000000001" customHeight="1">
      <c r="A239" s="282"/>
      <c r="B239" s="1760"/>
      <c r="C239" s="1760"/>
      <c r="D239" s="1760"/>
      <c r="E239" s="1760"/>
      <c r="F239" s="1760"/>
      <c r="G239" s="1760"/>
      <c r="H239" s="1760"/>
      <c r="I239" s="1760"/>
    </row>
    <row r="240" spans="1:64" ht="20.100000000000001" customHeight="1">
      <c r="A240" s="282"/>
      <c r="B240" s="282"/>
      <c r="C240" s="282"/>
      <c r="D240" s="282"/>
      <c r="E240" s="282"/>
      <c r="F240" s="282"/>
      <c r="G240" s="282"/>
      <c r="H240" s="282"/>
      <c r="I240" s="282"/>
    </row>
    <row r="241" spans="1:9" ht="20.100000000000001" customHeight="1">
      <c r="A241" s="282"/>
      <c r="B241" s="282"/>
      <c r="C241" s="282"/>
      <c r="D241" s="282"/>
      <c r="E241" s="282"/>
      <c r="F241" s="282"/>
      <c r="G241" s="282"/>
      <c r="H241" s="282"/>
      <c r="I241" s="282"/>
    </row>
    <row r="242" spans="1:9" ht="20.100000000000001" customHeight="1">
      <c r="A242" s="282"/>
      <c r="B242" s="282"/>
      <c r="C242" s="282"/>
      <c r="D242" s="282"/>
      <c r="E242" s="282"/>
      <c r="F242" s="282"/>
      <c r="G242" s="282"/>
      <c r="H242" s="282"/>
      <c r="I242" s="282"/>
    </row>
    <row r="243" spans="1:9" ht="20.100000000000001" customHeight="1">
      <c r="A243" s="282"/>
      <c r="B243" s="282"/>
      <c r="C243" s="282"/>
      <c r="D243" s="282"/>
      <c r="E243" s="282"/>
      <c r="F243" s="282"/>
      <c r="G243" s="282"/>
      <c r="H243" s="282"/>
      <c r="I243" s="282"/>
    </row>
    <row r="244" spans="1:9" ht="20.100000000000001" customHeight="1">
      <c r="A244" s="282"/>
      <c r="B244" s="282"/>
      <c r="C244" s="282"/>
      <c r="D244" s="282"/>
      <c r="E244" s="282"/>
      <c r="F244" s="282"/>
      <c r="G244" s="282"/>
      <c r="H244" s="282"/>
      <c r="I244" s="282"/>
    </row>
    <row r="245" spans="1:9" ht="20.100000000000001" customHeight="1">
      <c r="A245" s="282"/>
      <c r="B245" s="282"/>
      <c r="C245" s="282"/>
      <c r="D245" s="282"/>
      <c r="E245" s="282"/>
      <c r="F245" s="282"/>
      <c r="G245" s="282"/>
      <c r="H245" s="282"/>
      <c r="I245" s="282"/>
    </row>
    <row r="246" spans="1:9" ht="20.100000000000001" customHeight="1">
      <c r="A246" s="282"/>
      <c r="B246" s="282"/>
      <c r="C246" s="282"/>
      <c r="D246" s="282"/>
      <c r="E246" s="282"/>
      <c r="F246" s="282"/>
      <c r="G246" s="282"/>
      <c r="H246" s="282"/>
      <c r="I246" s="282"/>
    </row>
    <row r="247" spans="1:9" ht="20.100000000000001" customHeight="1">
      <c r="A247" s="282"/>
      <c r="B247" s="282"/>
      <c r="C247" s="282"/>
      <c r="D247" s="282"/>
      <c r="E247" s="282"/>
      <c r="F247" s="282"/>
      <c r="G247" s="282"/>
      <c r="H247" s="282"/>
      <c r="I247" s="282"/>
    </row>
    <row r="248" spans="1:9" ht="20.100000000000001" customHeight="1">
      <c r="A248" s="282"/>
      <c r="B248" s="282"/>
      <c r="C248" s="282"/>
      <c r="D248" s="282"/>
      <c r="E248" s="282"/>
      <c r="F248" s="282"/>
      <c r="G248" s="282"/>
      <c r="H248" s="282"/>
      <c r="I248" s="282"/>
    </row>
    <row r="249" spans="1:9" ht="20.100000000000001" customHeight="1">
      <c r="A249" s="282"/>
      <c r="B249" s="282"/>
      <c r="C249" s="282"/>
      <c r="D249" s="282"/>
      <c r="E249" s="282"/>
      <c r="F249" s="282"/>
      <c r="G249" s="282"/>
      <c r="H249" s="282"/>
      <c r="I249" s="282"/>
    </row>
    <row r="250" spans="1:9" ht="20.100000000000001" customHeight="1">
      <c r="A250" s="282"/>
      <c r="B250" s="282"/>
      <c r="C250" s="1761"/>
      <c r="D250" s="1761"/>
      <c r="E250" s="1761"/>
      <c r="F250" s="1761"/>
      <c r="G250" s="1761"/>
      <c r="H250" s="1761"/>
      <c r="I250" s="1761"/>
    </row>
    <row r="251" spans="1:9" ht="20.100000000000001" customHeight="1">
      <c r="A251" s="282"/>
      <c r="B251" s="282"/>
      <c r="C251" s="1761"/>
      <c r="D251" s="1761"/>
      <c r="E251" s="1761"/>
      <c r="F251" s="1761"/>
      <c r="G251" s="1761"/>
      <c r="H251" s="1761"/>
      <c r="I251" s="1761"/>
    </row>
    <row r="252" spans="1:9" ht="20.100000000000001" customHeight="1">
      <c r="A252" s="282"/>
      <c r="B252" s="282"/>
      <c r="C252" s="1761"/>
      <c r="D252" s="1761"/>
      <c r="E252" s="1761"/>
      <c r="F252" s="1761"/>
      <c r="G252" s="1761"/>
      <c r="H252" s="1761"/>
      <c r="I252" s="1761"/>
    </row>
    <row r="253" spans="1:9" ht="20.100000000000001" customHeight="1">
      <c r="A253" s="282"/>
      <c r="B253" s="282"/>
      <c r="C253" s="1761"/>
      <c r="D253" s="1761"/>
      <c r="E253" s="1761"/>
      <c r="F253" s="1761"/>
      <c r="G253" s="1761"/>
      <c r="H253" s="1761"/>
      <c r="I253" s="1761"/>
    </row>
    <row r="254" spans="1:9" ht="20.100000000000001" customHeight="1">
      <c r="A254" s="282"/>
      <c r="B254" s="282"/>
      <c r="C254" s="1761"/>
      <c r="D254" s="1761"/>
      <c r="E254" s="1761"/>
      <c r="F254" s="1761"/>
      <c r="G254" s="1761"/>
      <c r="H254" s="1761"/>
      <c r="I254" s="1761"/>
    </row>
    <row r="255" spans="1:9" ht="20.100000000000001" customHeight="1">
      <c r="A255" s="282"/>
      <c r="B255" s="282"/>
      <c r="C255" s="1761"/>
      <c r="D255" s="1761"/>
      <c r="E255" s="1761"/>
      <c r="F255" s="1761"/>
      <c r="G255" s="1761"/>
      <c r="H255" s="1761"/>
      <c r="I255" s="1761"/>
    </row>
    <row r="256" spans="1:9" ht="20.100000000000001" customHeight="1">
      <c r="A256" s="282"/>
      <c r="B256" s="282"/>
      <c r="C256" s="1761"/>
      <c r="D256" s="1761"/>
      <c r="E256" s="1761"/>
      <c r="F256" s="1761"/>
      <c r="G256" s="1761"/>
      <c r="H256" s="1761"/>
      <c r="I256" s="1761"/>
    </row>
    <row r="257" spans="1:9" ht="20.100000000000001" customHeight="1">
      <c r="A257" s="282"/>
      <c r="B257" s="282"/>
      <c r="C257" s="1761"/>
      <c r="D257" s="1761"/>
      <c r="E257" s="1761"/>
      <c r="F257" s="1761"/>
      <c r="G257" s="1761"/>
      <c r="H257" s="1761"/>
      <c r="I257" s="1761"/>
    </row>
    <row r="258" spans="1:9" ht="20.100000000000001" customHeight="1">
      <c r="A258" s="282"/>
      <c r="B258" s="282"/>
      <c r="C258" s="1761"/>
      <c r="D258" s="1761"/>
      <c r="E258" s="1761"/>
      <c r="F258" s="1761"/>
      <c r="G258" s="1761"/>
      <c r="H258" s="1761"/>
      <c r="I258" s="1761"/>
    </row>
    <row r="259" spans="1:9" ht="20.100000000000001" customHeight="1">
      <c r="A259" s="282"/>
      <c r="B259" s="282"/>
      <c r="C259" s="1761"/>
      <c r="D259" s="1761"/>
      <c r="E259" s="1761"/>
      <c r="F259" s="1761"/>
      <c r="G259" s="1761"/>
      <c r="H259" s="1761"/>
      <c r="I259" s="1761"/>
    </row>
    <row r="260" spans="1:9" ht="20.100000000000001" customHeight="1">
      <c r="A260" s="282"/>
      <c r="B260" s="282"/>
      <c r="C260" s="282"/>
      <c r="D260" s="282"/>
      <c r="E260" s="282"/>
      <c r="F260" s="282"/>
      <c r="G260" s="282"/>
      <c r="H260" s="282"/>
      <c r="I260" s="282"/>
    </row>
    <row r="261" spans="1:9" ht="20.100000000000001" customHeight="1">
      <c r="A261" s="282"/>
      <c r="B261" s="282"/>
      <c r="C261" s="282"/>
      <c r="D261" s="282"/>
      <c r="E261" s="282"/>
      <c r="F261" s="282"/>
      <c r="G261" s="282"/>
      <c r="H261" s="282"/>
      <c r="I261" s="282"/>
    </row>
    <row r="262" spans="1:9" ht="20.100000000000001" customHeight="1">
      <c r="A262" s="282"/>
      <c r="B262" s="282"/>
      <c r="C262" s="282"/>
      <c r="D262" s="282"/>
      <c r="E262" s="282"/>
      <c r="F262" s="282"/>
      <c r="G262" s="282"/>
      <c r="H262" s="282"/>
      <c r="I262" s="282"/>
    </row>
    <row r="263" spans="1:9" ht="20.100000000000001" customHeight="1">
      <c r="A263" s="282"/>
      <c r="B263" s="282"/>
      <c r="C263" s="282"/>
      <c r="D263" s="282"/>
      <c r="E263" s="282"/>
      <c r="F263" s="282"/>
      <c r="G263" s="282"/>
      <c r="H263" s="282"/>
      <c r="I263" s="282"/>
    </row>
    <row r="264" spans="1:9" ht="20.100000000000001" customHeight="1">
      <c r="A264" s="282"/>
      <c r="B264" s="282"/>
      <c r="C264" s="282"/>
      <c r="D264" s="282"/>
      <c r="E264" s="282"/>
      <c r="F264" s="282"/>
      <c r="G264" s="282"/>
      <c r="H264" s="282"/>
      <c r="I264" s="282"/>
    </row>
    <row r="265" spans="1:9" ht="20.100000000000001" customHeight="1">
      <c r="A265" s="282"/>
      <c r="B265" s="282"/>
      <c r="C265" s="282"/>
      <c r="D265" s="282"/>
      <c r="E265" s="282"/>
      <c r="F265" s="282"/>
      <c r="G265" s="282"/>
      <c r="H265" s="282"/>
      <c r="I265" s="282"/>
    </row>
    <row r="266" spans="1:9" ht="20.100000000000001" customHeight="1">
      <c r="A266" s="282"/>
      <c r="B266" s="282"/>
      <c r="C266" s="282"/>
      <c r="D266" s="282"/>
      <c r="E266" s="282"/>
      <c r="F266" s="282"/>
      <c r="G266" s="282"/>
      <c r="H266" s="282"/>
      <c r="I266" s="282"/>
    </row>
    <row r="267" spans="1:9" ht="20.100000000000001" customHeight="1">
      <c r="A267" s="282"/>
      <c r="B267" s="282"/>
      <c r="C267" s="282"/>
      <c r="D267" s="282"/>
      <c r="E267" s="282"/>
      <c r="F267" s="282"/>
      <c r="G267" s="282"/>
      <c r="H267" s="282"/>
      <c r="I267" s="282"/>
    </row>
    <row r="268" spans="1:9" ht="20.100000000000001" customHeight="1">
      <c r="A268" s="282"/>
      <c r="B268" s="282"/>
      <c r="C268" s="282"/>
      <c r="D268" s="282"/>
      <c r="E268" s="282"/>
      <c r="F268" s="282"/>
      <c r="G268" s="282"/>
      <c r="H268" s="282"/>
      <c r="I268" s="282"/>
    </row>
    <row r="269" spans="1:9" ht="20.100000000000001" customHeight="1">
      <c r="A269" s="282"/>
      <c r="B269" s="282"/>
      <c r="C269" s="282"/>
      <c r="D269" s="282"/>
      <c r="E269" s="282"/>
      <c r="F269" s="282"/>
      <c r="G269" s="282"/>
      <c r="H269" s="282"/>
      <c r="I269" s="282"/>
    </row>
    <row r="270" spans="1:9" ht="20.100000000000001" customHeight="1">
      <c r="A270" s="282"/>
      <c r="B270" s="282"/>
      <c r="C270" s="282"/>
      <c r="D270" s="282"/>
      <c r="E270" s="282"/>
      <c r="F270" s="282"/>
      <c r="G270" s="282"/>
      <c r="H270" s="282"/>
      <c r="I270" s="282"/>
    </row>
    <row r="271" spans="1:9" ht="20.100000000000001" customHeight="1">
      <c r="A271" s="282"/>
      <c r="B271" s="282"/>
      <c r="C271" s="282"/>
      <c r="D271" s="282"/>
      <c r="E271" s="282"/>
      <c r="F271" s="282"/>
      <c r="G271" s="282"/>
      <c r="H271" s="282"/>
      <c r="I271" s="282"/>
    </row>
    <row r="272" spans="1:9" ht="20.100000000000001" customHeight="1">
      <c r="A272" s="282"/>
      <c r="B272" s="282"/>
      <c r="C272" s="282"/>
      <c r="D272" s="282"/>
      <c r="E272" s="282"/>
      <c r="F272" s="282"/>
      <c r="G272" s="282"/>
      <c r="H272" s="282"/>
      <c r="I272" s="282"/>
    </row>
    <row r="273" spans="1:9" ht="20.100000000000001" customHeight="1">
      <c r="A273" s="282"/>
      <c r="B273" s="282"/>
      <c r="C273" s="282"/>
      <c r="D273" s="282"/>
      <c r="E273" s="282"/>
      <c r="F273" s="282"/>
      <c r="G273" s="282"/>
      <c r="H273" s="282"/>
      <c r="I273" s="282"/>
    </row>
    <row r="274" spans="1:9" ht="20.100000000000001" customHeight="1">
      <c r="A274" s="282"/>
      <c r="B274" s="282"/>
      <c r="C274" s="282"/>
      <c r="D274" s="282"/>
      <c r="E274" s="282"/>
      <c r="F274" s="282"/>
      <c r="G274" s="282"/>
      <c r="H274" s="282"/>
      <c r="I274" s="282"/>
    </row>
    <row r="275" spans="1:9" ht="20.100000000000001" customHeight="1"/>
    <row r="276" spans="1:9" ht="20.100000000000001" customHeight="1"/>
    <row r="277" spans="1:9" ht="20.100000000000001" customHeight="1"/>
    <row r="278" spans="1:9" ht="20.100000000000001" customHeight="1"/>
    <row r="279" spans="1:9" ht="20.100000000000001" customHeight="1"/>
    <row r="280" spans="1:9" ht="20.100000000000001" customHeight="1"/>
    <row r="281" spans="1:9" ht="20.100000000000001" customHeight="1"/>
    <row r="282" spans="1:9" ht="20.100000000000001" customHeight="1"/>
    <row r="283" spans="1:9" ht="20.100000000000001" customHeight="1"/>
    <row r="284" spans="1:9" ht="20.100000000000001" customHeight="1"/>
    <row r="285" spans="1:9" ht="20.100000000000001" customHeight="1"/>
    <row r="286" spans="1:9" ht="20.100000000000001" customHeight="1"/>
    <row r="287" spans="1:9" ht="20.100000000000001" customHeight="1"/>
    <row r="288" spans="1:9"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sheetData>
  <sheetProtection sheet="1" objects="1" scenarios="1"/>
  <mergeCells count="2">
    <mergeCell ref="B2:C2"/>
    <mergeCell ref="V47:W47"/>
  </mergeCells>
  <conditionalFormatting sqref="C201:I201 C130:I130 C133:I135 C167:I168">
    <cfRule type="cellIs" dxfId="74" priority="2" operator="equal">
      <formula>0</formula>
    </cfRule>
  </conditionalFormatting>
  <dataValidations count="11">
    <dataValidation operator="equal" allowBlank="1" showInputMessage="1" showErrorMessage="1" promptTitle="bitte beachten:" prompt="hier die Zahl der Personen eintragen, die im gemeinsamen Haushalt leben, aber nicht zur Bedarfsgemeinschaft rechnen, z.B. Großeltern, Onkel" sqref="B5">
      <formula1>0</formula1>
      <formula2>0</formula2>
    </dataValidation>
    <dataValidation operator="equal" allowBlank="1" showInputMessage="1" showErrorMessage="1" prompt="bitte die Kosten für_x000a_die Haushalts-_x000a_gemeinschaft_x000a_eintragen" sqref="B102">
      <formula1>0</formula1>
      <formula2>0</formula2>
    </dataValidation>
    <dataValidation type="date" operator="greaterThanOrEqual" allowBlank="1" showInputMessage="1" showErrorMessage="1" error="bitte Datum ab 01.01.2013 eingeben" prompt="bitte immer_x000a_Monatsersten_x000a_eingeben,_x000a_z.B. 01.01.2013" sqref="E2">
      <formula1>41275</formula1>
      <formula2>0</formula2>
    </dataValidation>
    <dataValidation type="list" operator="equal" allowBlank="1" showInputMessage="1" showErrorMessage="1" sqref="C34:H34 C35 E35:I35 B96:B97">
      <formula1>"ja,nein"</formula1>
      <formula2>0</formula2>
    </dataValidation>
    <dataValidation type="list" operator="equal" allowBlank="1" showInputMessage="1" showErrorMessage="1" sqref="D35">
      <formula1>"ja,nur Mehrbedarf,nein"</formula1>
      <formula2>0</formula2>
    </dataValidation>
    <dataValidation type="list" operator="equal" allowBlank="1" showInputMessage="1" showErrorMessage="1" sqref="C46 C91:I91 B95 C99:I99 C174:D174">
      <formula1>"ja"</formula1>
      <formula2>0</formula2>
    </dataValidation>
    <dataValidation type="decimal" operator="greaterThan" allowBlank="1" showInputMessage="1" showErrorMessage="1" error="hier wird nicht die Pauschale von 15,33 € eingetragen sondern tatsächlich anfallende Werbungskosten, die diesen Betrag übersteigen" sqref="C149:I149">
      <formula1>15.33</formula1>
      <formula2>0</formula2>
    </dataValidation>
    <dataValidation type="list" operator="equal" allowBlank="1" showInputMessage="1" showErrorMessage="1" sqref="A178">
      <formula1>"Leistungen der Ausbildungsförderung (bitte auswählen),BAföG,Berufsausbildungsbeihilfe,Ausbildungsgeld,Unterhaltsbeitrag nach AFBG"</formula1>
      <formula2>0</formula2>
    </dataValidation>
    <dataValidation type="decimal" operator="lessThan" allowBlank="1" showInputMessage="1" showErrorMessage="1" errorTitle="Anspruch" error="anspruchsberechtigt?" sqref="C178:F178">
      <formula1>0.01</formula1>
      <formula2>0</formula2>
    </dataValidation>
    <dataValidation type="decimal" operator="lessThan" allowBlank="1" showInputMessage="1" showErrorMessage="1" errorTitle="Anspruch" error="anspruchsberechtigt &quot;nein&quot; eingegeben?" sqref="C195:D195">
      <formula1>0.01</formula1>
      <formula2>0</formula2>
    </dataValidation>
    <dataValidation type="list" operator="equal" allowBlank="1" showInputMessage="1" showErrorMessage="1" sqref="E207:I207">
      <formula1>"1,2,3,4,5,6,7,8,9"</formula1>
      <formula2>0</formula2>
    </dataValidation>
  </dataValidations>
  <pageMargins left="0.78749999999999998" right="0.78749999999999998" top="0.98402777777777795" bottom="0.98402777777777795" header="0.51180555555555496" footer="0.51180555555555496"/>
  <pageSetup paperSize="9" firstPageNumber="0" orientation="portrait" horizontalDpi="300" verticalDpi="300"/>
  <legacyDrawing r:id="rId1"/>
</worksheet>
</file>

<file path=xl/worksheets/sheet13.xml><?xml version="1.0" encoding="utf-8"?>
<worksheet xmlns="http://schemas.openxmlformats.org/spreadsheetml/2006/main" xmlns:r="http://schemas.openxmlformats.org/officeDocument/2006/relationships">
  <dimension ref="A1:BL254"/>
  <sheetViews>
    <sheetView showGridLines="0" zoomScale="124" zoomScaleNormal="124" workbookViewId="0">
      <selection activeCell="I2" sqref="I2"/>
    </sheetView>
  </sheetViews>
  <sheetFormatPr baseColWidth="10" defaultColWidth="11.5703125" defaultRowHeight="16.5"/>
  <cols>
    <col min="1" max="1" width="33" style="801" customWidth="1"/>
    <col min="2" max="2" width="16.7109375" style="801" customWidth="1"/>
    <col min="3" max="3" width="12.85546875" style="801" customWidth="1"/>
    <col min="4" max="6" width="13" style="801" customWidth="1"/>
    <col min="7" max="7" width="12.5703125" style="801" customWidth="1"/>
    <col min="8" max="8" width="12.7109375" style="801" customWidth="1"/>
    <col min="9" max="9" width="13.42578125" style="801" customWidth="1"/>
    <col min="10" max="64" width="11.42578125" style="801" customWidth="1"/>
  </cols>
  <sheetData>
    <row r="1" spans="1:64" ht="7.5" customHeight="1"/>
    <row r="2" spans="1:64" ht="36" customHeight="1">
      <c r="A2" s="1762" t="s">
        <v>2366</v>
      </c>
      <c r="B2" s="1763"/>
      <c r="C2" s="1315"/>
      <c r="D2" s="1316"/>
      <c r="E2" s="1317"/>
      <c r="F2" s="1317"/>
      <c r="G2" s="1317"/>
      <c r="H2" s="1317"/>
      <c r="I2" s="1318"/>
      <c r="J2" s="1218"/>
      <c r="K2" s="1218"/>
      <c r="L2" s="818"/>
      <c r="M2" s="818"/>
      <c r="N2" s="818"/>
      <c r="O2" s="818"/>
      <c r="P2" s="818"/>
      <c r="Q2" s="818"/>
      <c r="R2" s="818"/>
      <c r="S2" s="818"/>
      <c r="T2" s="818"/>
      <c r="U2" s="818"/>
      <c r="V2" s="818"/>
      <c r="W2" s="818"/>
      <c r="X2" s="818"/>
      <c r="Y2" s="818"/>
      <c r="Z2" s="818"/>
      <c r="AA2" s="818"/>
      <c r="AB2" s="818"/>
      <c r="AC2" s="818"/>
      <c r="AD2" s="818"/>
      <c r="AE2" s="818"/>
      <c r="AF2" s="818"/>
      <c r="AG2" s="818"/>
      <c r="AH2" s="818"/>
      <c r="AI2" s="818"/>
      <c r="AJ2" s="818"/>
      <c r="AK2" s="818"/>
      <c r="AL2" s="818"/>
      <c r="AM2" s="818"/>
      <c r="AN2" s="818"/>
      <c r="AO2" s="818"/>
      <c r="AP2" s="818"/>
      <c r="AQ2" s="818"/>
      <c r="AR2" s="818"/>
      <c r="AS2" s="818"/>
      <c r="AT2" s="818"/>
      <c r="AU2" s="818"/>
      <c r="AV2" s="818"/>
      <c r="AW2" s="818"/>
      <c r="AX2" s="818"/>
      <c r="AY2" s="818"/>
      <c r="AZ2" s="818"/>
      <c r="BA2" s="818"/>
      <c r="BB2" s="818"/>
      <c r="BC2" s="818"/>
      <c r="BD2" s="818"/>
      <c r="BE2" s="818"/>
      <c r="BF2" s="818"/>
      <c r="BG2" s="818"/>
      <c r="BH2" s="818"/>
      <c r="BI2" s="818"/>
      <c r="BJ2" s="818"/>
      <c r="BK2" s="818"/>
      <c r="BL2" s="818"/>
    </row>
    <row r="3" spans="1:64" ht="18.75">
      <c r="A3" s="806" t="s">
        <v>138</v>
      </c>
      <c r="B3" s="1990">
        <f>EingabenÄnderungen!B2</f>
        <v>0</v>
      </c>
      <c r="C3" s="1990"/>
      <c r="D3" s="807" t="s">
        <v>139</v>
      </c>
      <c r="E3" s="813">
        <f>EingabenÄnderungen!E2</f>
        <v>44774</v>
      </c>
      <c r="F3" s="809" t="s">
        <v>2158</v>
      </c>
      <c r="G3" s="814">
        <f>EingabenÄnderungen!F2</f>
        <v>44804</v>
      </c>
      <c r="H3" s="811"/>
      <c r="I3" s="812"/>
      <c r="J3" s="1218"/>
      <c r="K3" s="1218"/>
      <c r="L3" s="818"/>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818"/>
      <c r="AL3" s="818"/>
      <c r="AM3" s="818"/>
      <c r="AN3" s="818"/>
      <c r="AO3" s="818"/>
      <c r="AP3" s="818"/>
      <c r="AQ3" s="818"/>
      <c r="AR3" s="818"/>
      <c r="AS3" s="818"/>
      <c r="AT3" s="818"/>
      <c r="AU3" s="818"/>
      <c r="AV3" s="818"/>
      <c r="AW3" s="818"/>
      <c r="AX3" s="818"/>
      <c r="AY3" s="818"/>
      <c r="AZ3" s="818"/>
      <c r="BA3" s="818"/>
      <c r="BB3" s="818"/>
      <c r="BC3" s="818"/>
      <c r="BD3" s="818"/>
      <c r="BE3" s="818"/>
      <c r="BF3" s="818"/>
      <c r="BG3" s="818"/>
      <c r="BH3" s="818"/>
      <c r="BI3" s="818"/>
      <c r="BJ3" s="818"/>
      <c r="BK3" s="818"/>
      <c r="BL3" s="818"/>
    </row>
    <row r="4" spans="1:64" ht="9.75" customHeight="1">
      <c r="J4" s="1218"/>
      <c r="K4" s="12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8"/>
      <c r="AS4" s="818"/>
      <c r="AT4" s="818"/>
      <c r="AU4" s="818"/>
      <c r="AV4" s="818"/>
      <c r="AW4" s="818"/>
      <c r="AX4" s="818"/>
      <c r="AY4" s="818"/>
      <c r="AZ4" s="818"/>
      <c r="BA4" s="818"/>
      <c r="BB4" s="818"/>
      <c r="BC4" s="818"/>
      <c r="BD4" s="818"/>
      <c r="BE4" s="818"/>
      <c r="BF4" s="818"/>
      <c r="BG4" s="818"/>
      <c r="BH4" s="818"/>
      <c r="BI4" s="818"/>
      <c r="BJ4" s="818"/>
      <c r="BK4" s="818"/>
      <c r="BL4" s="818"/>
    </row>
    <row r="5" spans="1:64" ht="23.25">
      <c r="A5" s="1319"/>
      <c r="B5" s="1320" t="s">
        <v>2337</v>
      </c>
      <c r="C5" s="1316"/>
      <c r="D5" s="1316"/>
      <c r="E5" s="1316"/>
      <c r="F5" s="1316"/>
      <c r="G5" s="1316"/>
      <c r="H5" s="1316"/>
      <c r="I5" s="1321"/>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818"/>
      <c r="AL5" s="818"/>
      <c r="AM5" s="818"/>
      <c r="AN5" s="818"/>
      <c r="AO5" s="818"/>
      <c r="AP5" s="818"/>
      <c r="AQ5" s="818"/>
      <c r="AR5" s="818"/>
      <c r="AS5" s="818"/>
      <c r="AT5" s="818"/>
      <c r="AU5" s="818"/>
      <c r="AV5" s="818"/>
      <c r="AW5" s="818"/>
      <c r="AX5" s="818"/>
      <c r="AY5" s="818"/>
      <c r="AZ5" s="818"/>
      <c r="BA5" s="818"/>
      <c r="BB5" s="818"/>
      <c r="BC5" s="818"/>
      <c r="BD5" s="818"/>
      <c r="BE5" s="818"/>
      <c r="BF5" s="818"/>
      <c r="BG5" s="818"/>
      <c r="BH5" s="818"/>
      <c r="BI5" s="818"/>
      <c r="BJ5" s="818"/>
      <c r="BK5" s="818"/>
      <c r="BL5" s="818"/>
    </row>
    <row r="6" spans="1:64" ht="20.25" customHeight="1">
      <c r="A6" s="839"/>
      <c r="B6" s="1322" t="s">
        <v>246</v>
      </c>
      <c r="C6" s="1764" t="str">
        <f>EingabenÄnderungen!C4</f>
        <v>Antragsteller</v>
      </c>
      <c r="D6" s="1764" t="str">
        <f>EingabenÄnderungen!D4</f>
        <v>Partner(in)</v>
      </c>
      <c r="E6" s="1764" t="str">
        <f>EingabenÄnderungen!E4</f>
        <v>Kind 1</v>
      </c>
      <c r="F6" s="1322" t="s">
        <v>145</v>
      </c>
      <c r="G6" s="1322" t="s">
        <v>146</v>
      </c>
      <c r="H6" s="1322" t="s">
        <v>147</v>
      </c>
      <c r="I6" s="1323" t="s">
        <v>148</v>
      </c>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8"/>
      <c r="AY6" s="818"/>
      <c r="AZ6" s="818"/>
      <c r="BA6" s="818"/>
      <c r="BB6" s="818"/>
      <c r="BC6" s="818"/>
      <c r="BD6" s="818"/>
      <c r="BE6" s="818"/>
      <c r="BF6" s="818"/>
      <c r="BG6" s="818"/>
      <c r="BH6" s="818"/>
      <c r="BI6" s="818"/>
      <c r="BJ6" s="818"/>
      <c r="BK6" s="818"/>
      <c r="BL6" s="818"/>
    </row>
    <row r="7" spans="1:64">
      <c r="A7" s="839" t="s">
        <v>2159</v>
      </c>
      <c r="B7" s="1324">
        <f>EingabenÄnderungen!B6</f>
        <v>1</v>
      </c>
      <c r="C7" s="841">
        <f>EingabenÄnderungen!C6</f>
        <v>0</v>
      </c>
      <c r="D7" s="841">
        <f>EingabenÄnderungen!D6</f>
        <v>0</v>
      </c>
      <c r="E7" s="841">
        <f>EingabenÄnderungen!E6</f>
        <v>0</v>
      </c>
      <c r="F7" s="841">
        <f>EingabenÄnderungen!F6</f>
        <v>0</v>
      </c>
      <c r="G7" s="841">
        <f>EingabenÄnderungen!G6</f>
        <v>0</v>
      </c>
      <c r="H7" s="841">
        <f>EingabenÄnderungen!H6</f>
        <v>0</v>
      </c>
      <c r="I7" s="842">
        <f>EingabenÄnderungen!I6</f>
        <v>0</v>
      </c>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8"/>
      <c r="AL7" s="818"/>
      <c r="AM7" s="818"/>
      <c r="AN7" s="818"/>
      <c r="AO7" s="818"/>
      <c r="AP7" s="818"/>
      <c r="AQ7" s="818"/>
      <c r="AR7" s="818"/>
      <c r="AS7" s="818"/>
      <c r="AT7" s="818"/>
      <c r="AU7" s="818"/>
      <c r="AV7" s="818"/>
      <c r="AW7" s="818"/>
      <c r="AX7" s="818"/>
      <c r="AY7" s="818"/>
      <c r="AZ7" s="818"/>
      <c r="BA7" s="818"/>
      <c r="BB7" s="818"/>
      <c r="BC7" s="818"/>
      <c r="BD7" s="818"/>
      <c r="BE7" s="818"/>
      <c r="BF7" s="818"/>
      <c r="BG7" s="818"/>
      <c r="BH7" s="818"/>
      <c r="BI7" s="818"/>
      <c r="BJ7" s="818"/>
      <c r="BK7" s="818"/>
      <c r="BL7" s="818"/>
    </row>
    <row r="8" spans="1:64" ht="16.5" hidden="1" customHeight="1">
      <c r="A8" s="839" t="s">
        <v>2160</v>
      </c>
      <c r="B8" s="864"/>
      <c r="C8" s="1325" t="str">
        <f>EingabenÄnderungen!E7</f>
        <v>ja</v>
      </c>
      <c r="D8" s="1325" t="str">
        <f>EingabenÄnderungen!F7</f>
        <v>ja</v>
      </c>
      <c r="E8" s="1325"/>
      <c r="F8" s="1325"/>
      <c r="G8" s="1325"/>
      <c r="H8" s="1325"/>
      <c r="I8" s="1326"/>
      <c r="L8" s="818"/>
      <c r="M8" s="818"/>
      <c r="N8" s="818"/>
      <c r="O8" s="818"/>
      <c r="P8" s="818"/>
      <c r="Q8" s="818"/>
      <c r="R8" s="818"/>
      <c r="S8" s="818"/>
      <c r="T8" s="818"/>
      <c r="U8" s="818"/>
      <c r="V8" s="818"/>
      <c r="W8" s="818"/>
      <c r="X8" s="818"/>
      <c r="Y8" s="818"/>
      <c r="Z8" s="818"/>
      <c r="AA8" s="818"/>
      <c r="AB8" s="818"/>
      <c r="AC8" s="818"/>
      <c r="AD8" s="818"/>
      <c r="AE8" s="818"/>
      <c r="AF8" s="818"/>
      <c r="AG8" s="818"/>
      <c r="AH8" s="818"/>
      <c r="AI8" s="818"/>
      <c r="AJ8" s="818"/>
      <c r="AK8" s="818"/>
      <c r="AL8" s="818"/>
      <c r="AM8" s="818"/>
      <c r="AN8" s="818"/>
      <c r="AO8" s="818"/>
      <c r="AP8" s="818"/>
      <c r="AQ8" s="818"/>
      <c r="AR8" s="818"/>
      <c r="AS8" s="818"/>
      <c r="AT8" s="818"/>
      <c r="AU8" s="818"/>
      <c r="AV8" s="818"/>
      <c r="AW8" s="818"/>
      <c r="AX8" s="818"/>
      <c r="AY8" s="818"/>
      <c r="AZ8" s="818"/>
      <c r="BA8" s="818"/>
      <c r="BB8" s="818"/>
      <c r="BC8" s="818"/>
      <c r="BD8" s="818"/>
      <c r="BE8" s="818"/>
      <c r="BF8" s="818"/>
      <c r="BG8" s="818"/>
      <c r="BH8" s="818"/>
      <c r="BI8" s="818"/>
      <c r="BJ8" s="818"/>
      <c r="BK8" s="818"/>
      <c r="BL8" s="818"/>
    </row>
    <row r="9" spans="1:64">
      <c r="A9" s="839" t="s">
        <v>2161</v>
      </c>
      <c r="B9" s="889"/>
      <c r="C9" s="879">
        <f>EingabenÄnderungen!C22</f>
        <v>0</v>
      </c>
      <c r="D9" s="879">
        <f>EingabenÄnderungen!D22</f>
        <v>0</v>
      </c>
      <c r="E9" s="879">
        <f>IF(EingabenÄnderungen!E16=0,EingabenÄnderungen!E16,EingabenÄnderungen!E22)</f>
        <v>0</v>
      </c>
      <c r="F9" s="879">
        <f>IF(EingabenÄnderungen!F16=0,EingabenÄnderungen!F16,EingabenÄnderungen!F22)</f>
        <v>0</v>
      </c>
      <c r="G9" s="879">
        <f>IF(EingabenÄnderungen!G16=0,EingabenÄnderungen!G16,EingabenÄnderungen!G22)</f>
        <v>0</v>
      </c>
      <c r="H9" s="879">
        <f>IF(EingabenÄnderungen!H16=0,EingabenÄnderungen!H16,EingabenÄnderungen!H22)</f>
        <v>0</v>
      </c>
      <c r="I9" s="880">
        <f>IF(EingabenÄnderungen!I16=0,EingabenÄnderungen!I16,EingabenÄnderungen!I22)</f>
        <v>0</v>
      </c>
      <c r="L9" s="818"/>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8"/>
      <c r="AN9" s="818"/>
      <c r="AO9" s="818"/>
      <c r="AP9" s="818"/>
      <c r="AQ9" s="818"/>
      <c r="AR9" s="818"/>
      <c r="AS9" s="818"/>
      <c r="AT9" s="818"/>
      <c r="AU9" s="818"/>
      <c r="AV9" s="818"/>
      <c r="AW9" s="818"/>
      <c r="AX9" s="818"/>
      <c r="AY9" s="818"/>
      <c r="AZ9" s="818"/>
      <c r="BA9" s="818"/>
      <c r="BB9" s="818"/>
      <c r="BC9" s="818"/>
      <c r="BD9" s="818"/>
      <c r="BE9" s="818"/>
      <c r="BF9" s="818"/>
      <c r="BG9" s="818"/>
      <c r="BH9" s="818"/>
      <c r="BI9" s="818"/>
      <c r="BJ9" s="818"/>
      <c r="BK9" s="818"/>
      <c r="BL9" s="818"/>
    </row>
    <row r="10" spans="1:64">
      <c r="A10" s="854" t="s">
        <v>2162</v>
      </c>
      <c r="B10" s="1327"/>
      <c r="C10" s="1328" t="str">
        <f>EingabenÄnderungen!C35</f>
        <v>ja</v>
      </c>
      <c r="D10" s="1328">
        <f>IF(EingabenÄnderungen!D33&gt;0,EingabenÄnderungen!D35,0)</f>
        <v>0</v>
      </c>
      <c r="E10" s="1328">
        <f>IF(EingabenÄnderungen!E33&gt;0,EingabenÄnderungen!E35,0)</f>
        <v>0</v>
      </c>
      <c r="F10" s="1328">
        <f>IF(EingabenÄnderungen!F33&gt;0,EingabenÄnderungen!F35,0)</f>
        <v>0</v>
      </c>
      <c r="G10" s="1328">
        <f>IF(EingabenÄnderungen!G33&gt;0,EingabenÄnderungen!G35,0)</f>
        <v>0</v>
      </c>
      <c r="H10" s="1328">
        <f>IF(EingabenÄnderungen!H33&gt;0,EingabenÄnderungen!H35,0)</f>
        <v>0</v>
      </c>
      <c r="I10" s="1329">
        <f>IF(EingabenÄnderungen!I33&gt;0,EingabenÄnderungen!I35,0)</f>
        <v>0</v>
      </c>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818"/>
      <c r="AL10" s="818"/>
      <c r="AM10" s="818"/>
      <c r="AN10" s="818"/>
      <c r="AO10" s="818"/>
      <c r="AP10" s="818"/>
      <c r="AQ10" s="818"/>
      <c r="AR10" s="818"/>
      <c r="AS10" s="818"/>
      <c r="AT10" s="818"/>
      <c r="AU10" s="818"/>
      <c r="AV10" s="818"/>
      <c r="AW10" s="818"/>
      <c r="AX10" s="818"/>
      <c r="AY10" s="818"/>
      <c r="AZ10" s="818"/>
      <c r="BA10" s="818"/>
      <c r="BB10" s="818"/>
      <c r="BC10" s="818"/>
      <c r="BD10" s="818"/>
      <c r="BE10" s="818"/>
      <c r="BF10" s="818"/>
      <c r="BG10" s="818"/>
      <c r="BH10" s="818"/>
      <c r="BI10" s="818"/>
      <c r="BJ10" s="818"/>
      <c r="BK10" s="818"/>
      <c r="BL10" s="818"/>
    </row>
    <row r="11" spans="1:64">
      <c r="A11" s="1330" t="s">
        <v>2163</v>
      </c>
      <c r="B11" s="1331">
        <f>SUM(C11:I11)</f>
        <v>409</v>
      </c>
      <c r="C11" s="1332">
        <f>EingabenÄnderungen!C33</f>
        <v>409</v>
      </c>
      <c r="D11" s="1332">
        <f>EingabenÄnderungen!D33</f>
        <v>0</v>
      </c>
      <c r="E11" s="1332">
        <f>EingabenÄnderungen!E33</f>
        <v>0</v>
      </c>
      <c r="F11" s="1332">
        <f>EingabenÄnderungen!F33</f>
        <v>0</v>
      </c>
      <c r="G11" s="1332">
        <f>EingabenÄnderungen!G33</f>
        <v>0</v>
      </c>
      <c r="H11" s="1332">
        <f>EingabenÄnderungen!H33</f>
        <v>0</v>
      </c>
      <c r="I11" s="1333">
        <f>EingabenÄnderungen!I33</f>
        <v>0</v>
      </c>
      <c r="L11" s="818"/>
      <c r="M11" s="818"/>
      <c r="N11" s="818"/>
      <c r="O11" s="818"/>
      <c r="P11" s="818"/>
      <c r="Q11" s="818"/>
      <c r="R11" s="818"/>
      <c r="S11" s="818"/>
      <c r="T11" s="818"/>
      <c r="U11" s="818"/>
      <c r="V11" s="818"/>
      <c r="W11" s="818"/>
      <c r="X11" s="818"/>
      <c r="Y11" s="818"/>
      <c r="Z11" s="818"/>
      <c r="AA11" s="818"/>
      <c r="AB11" s="818"/>
      <c r="AC11" s="818"/>
      <c r="AD11" s="818"/>
      <c r="AE11" s="818"/>
      <c r="AF11" s="818"/>
      <c r="AG11" s="818"/>
      <c r="AH11" s="818"/>
      <c r="AI11" s="818"/>
      <c r="AJ11" s="818"/>
      <c r="AK11" s="818"/>
      <c r="AL11" s="818"/>
      <c r="AM11" s="818"/>
      <c r="AN11" s="818"/>
      <c r="AO11" s="818"/>
      <c r="AP11" s="818"/>
      <c r="AQ11" s="818"/>
      <c r="AR11" s="818"/>
      <c r="AS11" s="818"/>
      <c r="AT11" s="818"/>
      <c r="AU11" s="818"/>
      <c r="AV11" s="818"/>
      <c r="AW11" s="818"/>
      <c r="AX11" s="818"/>
      <c r="AY11" s="818"/>
      <c r="AZ11" s="818"/>
      <c r="BA11" s="818"/>
      <c r="BB11" s="818"/>
      <c r="BC11" s="818"/>
      <c r="BD11" s="818"/>
      <c r="BE11" s="818"/>
      <c r="BF11" s="818"/>
      <c r="BG11" s="818"/>
      <c r="BH11" s="818"/>
      <c r="BI11" s="818"/>
      <c r="BJ11" s="818"/>
      <c r="BK11" s="818"/>
      <c r="BL11" s="818"/>
    </row>
    <row r="12" spans="1:64">
      <c r="A12" s="1334" t="s">
        <v>2164</v>
      </c>
      <c r="B12" s="522"/>
      <c r="C12" s="1016"/>
      <c r="D12" s="1016"/>
      <c r="E12" s="1016"/>
      <c r="F12" s="1016"/>
      <c r="G12" s="1016"/>
      <c r="H12" s="1016"/>
      <c r="I12" s="1017"/>
      <c r="L12" s="818"/>
      <c r="M12" s="818"/>
      <c r="N12" s="818"/>
      <c r="O12" s="818"/>
      <c r="P12" s="818"/>
      <c r="Q12" s="818"/>
      <c r="R12" s="818"/>
      <c r="S12" s="818"/>
      <c r="T12" s="818"/>
      <c r="U12" s="818"/>
      <c r="V12" s="818"/>
      <c r="W12" s="818"/>
      <c r="X12" s="818"/>
      <c r="Y12" s="818"/>
      <c r="Z12" s="818"/>
      <c r="AA12" s="818"/>
      <c r="AB12" s="818"/>
      <c r="AC12" s="818"/>
      <c r="AD12" s="818"/>
      <c r="AE12" s="818"/>
      <c r="AF12" s="818"/>
      <c r="AG12" s="818"/>
      <c r="AH12" s="818"/>
      <c r="AI12" s="818"/>
      <c r="AJ12" s="818"/>
      <c r="AK12" s="818"/>
      <c r="AL12" s="818"/>
      <c r="AM12" s="818"/>
      <c r="AN12" s="818"/>
      <c r="AO12" s="818"/>
      <c r="AP12" s="818"/>
      <c r="AQ12" s="818"/>
      <c r="AR12" s="818"/>
      <c r="AS12" s="818"/>
      <c r="AT12" s="818"/>
      <c r="AU12" s="818"/>
      <c r="AV12" s="818"/>
      <c r="AW12" s="818"/>
      <c r="AX12" s="818"/>
      <c r="AY12" s="818"/>
      <c r="AZ12" s="818"/>
      <c r="BA12" s="818"/>
      <c r="BB12" s="818"/>
      <c r="BC12" s="818"/>
      <c r="BD12" s="818"/>
      <c r="BE12" s="818"/>
      <c r="BF12" s="818"/>
      <c r="BG12" s="818"/>
      <c r="BH12" s="818"/>
      <c r="BI12" s="818"/>
      <c r="BJ12" s="818"/>
      <c r="BK12" s="818"/>
      <c r="BL12" s="818"/>
    </row>
    <row r="13" spans="1:64">
      <c r="A13" s="976">
        <f>IF(B13&gt;0,"Schwangerschaft",0)</f>
        <v>0</v>
      </c>
      <c r="B13" s="1335">
        <f>SUM(C13:I13)</f>
        <v>0</v>
      </c>
      <c r="C13" s="522">
        <f>IF(OR(EingabenÄnderungen!C37="",C10="nur Mehrbedarf"),0,EingabenÄnderungen!C45)</f>
        <v>0</v>
      </c>
      <c r="D13" s="522">
        <f>IF(OR(EingabenÄnderungen!D37="",D10="nur Mehrbedarf"),0,EingabenÄnderungen!D45)</f>
        <v>0</v>
      </c>
      <c r="E13" s="522">
        <f>IF(EingabenÄnderungen!E37="",0,EingabenÄnderungen!E45)</f>
        <v>0</v>
      </c>
      <c r="F13" s="522"/>
      <c r="G13" s="522"/>
      <c r="H13" s="522"/>
      <c r="I13" s="523"/>
      <c r="L13" s="818"/>
      <c r="M13" s="818"/>
      <c r="N13" s="818"/>
      <c r="O13" s="818"/>
      <c r="P13" s="818"/>
      <c r="Q13" s="818"/>
      <c r="R13" s="818"/>
      <c r="S13" s="818"/>
      <c r="T13" s="818"/>
      <c r="U13" s="818"/>
      <c r="V13" s="818"/>
      <c r="W13" s="818"/>
      <c r="X13" s="818"/>
      <c r="Y13" s="818"/>
      <c r="Z13" s="818"/>
      <c r="AA13" s="818"/>
      <c r="AB13" s="818"/>
      <c r="AC13" s="818"/>
      <c r="AD13" s="818"/>
      <c r="AE13" s="818"/>
      <c r="AF13" s="818"/>
      <c r="AG13" s="818"/>
      <c r="AH13" s="818"/>
      <c r="AI13" s="818"/>
      <c r="AJ13" s="818"/>
      <c r="AK13" s="818"/>
      <c r="AL13" s="818"/>
      <c r="AM13" s="818"/>
      <c r="AN13" s="818"/>
      <c r="AO13" s="818"/>
      <c r="AP13" s="818"/>
      <c r="AQ13" s="818"/>
      <c r="AR13" s="818"/>
      <c r="AS13" s="818"/>
      <c r="AT13" s="818"/>
      <c r="AU13" s="818"/>
      <c r="AV13" s="818"/>
      <c r="AW13" s="818"/>
      <c r="AX13" s="818"/>
      <c r="AY13" s="818"/>
      <c r="AZ13" s="818"/>
      <c r="BA13" s="818"/>
      <c r="BB13" s="818"/>
      <c r="BC13" s="818"/>
      <c r="BD13" s="818"/>
      <c r="BE13" s="818"/>
      <c r="BF13" s="818"/>
      <c r="BG13" s="818"/>
      <c r="BH13" s="818"/>
      <c r="BI13" s="818"/>
      <c r="BJ13" s="818"/>
      <c r="BK13" s="818"/>
      <c r="BL13" s="818"/>
    </row>
    <row r="14" spans="1:64">
      <c r="A14" s="976">
        <f>IF(B14&gt;0,"Alleinerziehende",0)</f>
        <v>0</v>
      </c>
      <c r="B14" s="1335">
        <f>C14</f>
        <v>0</v>
      </c>
      <c r="C14" s="522">
        <f>IF(C10="nur Mehrbedarf",0,EingabenÄnderungen!B46)</f>
        <v>0</v>
      </c>
      <c r="D14" s="522"/>
      <c r="E14" s="522"/>
      <c r="F14" s="522"/>
      <c r="G14" s="522"/>
      <c r="H14" s="522"/>
      <c r="I14" s="523"/>
      <c r="L14" s="818"/>
      <c r="M14" s="818"/>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818"/>
      <c r="AK14" s="818"/>
      <c r="AL14" s="818"/>
      <c r="AM14" s="818"/>
      <c r="AN14" s="818"/>
      <c r="AO14" s="818"/>
      <c r="AP14" s="818"/>
      <c r="AQ14" s="818"/>
      <c r="AR14" s="818"/>
      <c r="AS14" s="818"/>
      <c r="AT14" s="818"/>
      <c r="AU14" s="818"/>
      <c r="AV14" s="818"/>
      <c r="AW14" s="818"/>
      <c r="AX14" s="818"/>
      <c r="AY14" s="818"/>
      <c r="AZ14" s="818"/>
      <c r="BA14" s="818"/>
      <c r="BB14" s="818"/>
      <c r="BC14" s="818"/>
      <c r="BD14" s="818"/>
      <c r="BE14" s="818"/>
      <c r="BF14" s="818"/>
      <c r="BG14" s="818"/>
      <c r="BH14" s="818"/>
      <c r="BI14" s="818"/>
      <c r="BJ14" s="818"/>
      <c r="BK14" s="818"/>
      <c r="BL14" s="818"/>
    </row>
    <row r="15" spans="1:64">
      <c r="A15" s="976">
        <f>IF(B15&gt;0,"behinderter Mensch, Teilhabe",0)</f>
        <v>0</v>
      </c>
      <c r="B15" s="1335">
        <f>SUM(C15:I15)</f>
        <v>0</v>
      </c>
      <c r="C15" s="522">
        <f>IF(EingabenÄnderungen!C34="ja",EingabenÄnderungen!C92,0)</f>
        <v>0</v>
      </c>
      <c r="D15" s="522">
        <f>IF(EingabenÄnderungen!D34="ja",EingabenÄnderungen!D92,0)</f>
        <v>0</v>
      </c>
      <c r="E15" s="522">
        <f>IF(EingabenÄnderungen!E34="ja",EingabenÄnderungen!E92,0)</f>
        <v>0</v>
      </c>
      <c r="F15" s="522">
        <f>IF(EingabenÄnderungen!F34="ja",EingabenÄnderungen!F92,0)</f>
        <v>0</v>
      </c>
      <c r="G15" s="522">
        <f>IF(EingabenÄnderungen!G34="ja",EingabenÄnderungen!G92,0)</f>
        <v>0</v>
      </c>
      <c r="H15" s="522">
        <f>IF(EingabenÄnderungen!H34="ja",EingabenÄnderungen!H92,0)</f>
        <v>0</v>
      </c>
      <c r="I15" s="523">
        <f>IF(EingabenÄnderungen!I34="ja",EingabenÄnderungen!I92,0)</f>
        <v>0</v>
      </c>
      <c r="L15" s="818"/>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8"/>
      <c r="AL15" s="818"/>
      <c r="AM15" s="818"/>
      <c r="AN15" s="818"/>
      <c r="AO15" s="818"/>
      <c r="AP15" s="818"/>
      <c r="AQ15" s="818"/>
      <c r="AR15" s="818"/>
      <c r="AS15" s="818"/>
      <c r="AT15" s="818"/>
      <c r="AU15" s="818"/>
      <c r="AV15" s="818"/>
      <c r="AW15" s="818"/>
      <c r="AX15" s="818"/>
      <c r="AY15" s="818"/>
      <c r="AZ15" s="818"/>
      <c r="BA15" s="818"/>
      <c r="BB15" s="818"/>
      <c r="BC15" s="818"/>
      <c r="BD15" s="818"/>
      <c r="BE15" s="818"/>
      <c r="BF15" s="818"/>
      <c r="BG15" s="818"/>
      <c r="BH15" s="818"/>
      <c r="BI15" s="818"/>
      <c r="BJ15" s="818"/>
      <c r="BK15" s="818"/>
      <c r="BL15" s="818"/>
    </row>
    <row r="16" spans="1:64">
      <c r="A16" s="976">
        <f>IF(B16&gt;0,"kostenaufwändige Ernährung",0)</f>
        <v>0</v>
      </c>
      <c r="B16" s="1335">
        <f>SUM(C16:I16)</f>
        <v>0</v>
      </c>
      <c r="C16" s="522">
        <f>IF(C10="nur Mehrbedarf",0,EingabenÄnderungen!C93)</f>
        <v>0</v>
      </c>
      <c r="D16" s="522">
        <f>IF(D10="nur Mehrbedarf",0,EingabenÄnderungen!D93)</f>
        <v>0</v>
      </c>
      <c r="E16" s="522">
        <f>EingabenÄnderungen!E93</f>
        <v>0</v>
      </c>
      <c r="F16" s="522">
        <f>EingabenÄnderungen!F93</f>
        <v>0</v>
      </c>
      <c r="G16" s="522">
        <f>EingabenÄnderungen!G93</f>
        <v>0</v>
      </c>
      <c r="H16" s="522">
        <f>EingabenÄnderungen!H93</f>
        <v>0</v>
      </c>
      <c r="I16" s="523">
        <f>EingabenÄnderungen!I93</f>
        <v>0</v>
      </c>
      <c r="L16" s="818"/>
      <c r="M16" s="818"/>
      <c r="N16" s="818"/>
      <c r="O16" s="818"/>
      <c r="P16" s="818"/>
      <c r="Q16" s="818"/>
      <c r="R16" s="818"/>
      <c r="S16" s="818"/>
      <c r="T16" s="818"/>
      <c r="U16" s="818"/>
      <c r="V16" s="818"/>
      <c r="W16" s="818"/>
      <c r="X16" s="818"/>
      <c r="Y16" s="818"/>
      <c r="Z16" s="818"/>
      <c r="AA16" s="818"/>
      <c r="AB16" s="818"/>
      <c r="AC16" s="818"/>
      <c r="AD16" s="818"/>
      <c r="AE16" s="818"/>
      <c r="AF16" s="818"/>
      <c r="AG16" s="818"/>
      <c r="AH16" s="818"/>
      <c r="AI16" s="818"/>
      <c r="AJ16" s="818"/>
      <c r="AK16" s="818"/>
      <c r="AL16" s="818"/>
      <c r="AM16" s="818"/>
      <c r="AN16" s="818"/>
      <c r="AO16" s="818"/>
      <c r="AP16" s="818"/>
      <c r="AQ16" s="818"/>
      <c r="AR16" s="818"/>
      <c r="AS16" s="818"/>
      <c r="AT16" s="818"/>
      <c r="AU16" s="818"/>
      <c r="AV16" s="818"/>
      <c r="AW16" s="818"/>
      <c r="AX16" s="818"/>
      <c r="AY16" s="818"/>
      <c r="AZ16" s="818"/>
      <c r="BA16" s="818"/>
      <c r="BB16" s="818"/>
      <c r="BC16" s="818"/>
      <c r="BD16" s="818"/>
      <c r="BE16" s="818"/>
      <c r="BF16" s="818"/>
      <c r="BG16" s="818"/>
      <c r="BH16" s="818"/>
      <c r="BI16" s="818"/>
      <c r="BJ16" s="818"/>
      <c r="BK16" s="818"/>
      <c r="BL16" s="818"/>
    </row>
    <row r="17" spans="1:64">
      <c r="A17" s="976">
        <f>IF(B17&gt;0,"unabweisbarer, lfd., besond. Bedarf",0)</f>
        <v>0</v>
      </c>
      <c r="B17" s="1335">
        <f>SUM(C17:I17)</f>
        <v>0</v>
      </c>
      <c r="C17" s="522">
        <f>IF(C10="nur Mehrbedarf",0,EingabenÄnderungen!C94)</f>
        <v>0</v>
      </c>
      <c r="D17" s="522">
        <f>IF(D10="nur Mehrbedarf",0,EingabenÄnderungen!D94)</f>
        <v>0</v>
      </c>
      <c r="E17" s="522">
        <f>EingabenÄnderungen!E94</f>
        <v>0</v>
      </c>
      <c r="F17" s="522">
        <f>EingabenÄnderungen!F94</f>
        <v>0</v>
      </c>
      <c r="G17" s="522">
        <f>EingabenÄnderungen!G94</f>
        <v>0</v>
      </c>
      <c r="H17" s="522">
        <f>EingabenÄnderungen!H94</f>
        <v>0</v>
      </c>
      <c r="I17" s="523">
        <f>EingabenÄnderungen!I94</f>
        <v>0</v>
      </c>
      <c r="L17" s="818"/>
      <c r="M17" s="818"/>
      <c r="N17" s="818"/>
      <c r="O17" s="818"/>
      <c r="P17" s="818"/>
      <c r="Q17" s="818"/>
      <c r="R17" s="818"/>
      <c r="S17" s="818"/>
      <c r="T17" s="818"/>
      <c r="U17" s="818"/>
      <c r="V17" s="818"/>
      <c r="W17" s="818"/>
      <c r="X17" s="818"/>
      <c r="Y17" s="818"/>
      <c r="Z17" s="818"/>
      <c r="AA17" s="818"/>
      <c r="AB17" s="818"/>
      <c r="AC17" s="818"/>
      <c r="AD17" s="818"/>
      <c r="AE17" s="818"/>
      <c r="AF17" s="818"/>
      <c r="AG17" s="818"/>
      <c r="AH17" s="818"/>
      <c r="AI17" s="818"/>
      <c r="AJ17" s="818"/>
      <c r="AK17" s="818"/>
      <c r="AL17" s="818"/>
      <c r="AM17" s="818"/>
      <c r="AN17" s="818"/>
      <c r="AO17" s="818"/>
      <c r="AP17" s="818"/>
      <c r="AQ17" s="818"/>
      <c r="AR17" s="818"/>
      <c r="AS17" s="818"/>
      <c r="AT17" s="818"/>
      <c r="AU17" s="818"/>
      <c r="AV17" s="818"/>
      <c r="AW17" s="818"/>
      <c r="AX17" s="818"/>
      <c r="AY17" s="818"/>
      <c r="AZ17" s="818"/>
      <c r="BA17" s="818"/>
      <c r="BB17" s="818"/>
      <c r="BC17" s="818"/>
      <c r="BD17" s="818"/>
      <c r="BE17" s="818"/>
      <c r="BF17" s="818"/>
      <c r="BG17" s="818"/>
      <c r="BH17" s="818"/>
      <c r="BI17" s="818"/>
      <c r="BJ17" s="818"/>
      <c r="BK17" s="818"/>
      <c r="BL17" s="818"/>
    </row>
    <row r="18" spans="1:64">
      <c r="A18" s="976">
        <f>IF(B18&gt;0,"Warmwasser dezentral",0)</f>
        <v>0</v>
      </c>
      <c r="B18" s="1335">
        <f>SUM(C18:I18)</f>
        <v>0</v>
      </c>
      <c r="C18" s="522">
        <f>EingabenÄnderungen!C98</f>
        <v>0</v>
      </c>
      <c r="D18" s="522">
        <f>EingabenÄnderungen!D98</f>
        <v>0</v>
      </c>
      <c r="E18" s="522">
        <f>EingabenÄnderungen!E98</f>
        <v>0</v>
      </c>
      <c r="F18" s="522">
        <f>EingabenÄnderungen!F98</f>
        <v>0</v>
      </c>
      <c r="G18" s="522">
        <f>EingabenÄnderungen!G98</f>
        <v>0</v>
      </c>
      <c r="H18" s="522">
        <f>EingabenÄnderungen!H98</f>
        <v>0</v>
      </c>
      <c r="I18" s="523">
        <f>EingabenÄnderungen!I98</f>
        <v>0</v>
      </c>
      <c r="L18" s="818"/>
      <c r="M18" s="818"/>
      <c r="N18" s="818"/>
      <c r="O18" s="818"/>
      <c r="P18" s="818"/>
      <c r="Q18" s="818"/>
      <c r="R18" s="818"/>
      <c r="S18" s="818"/>
      <c r="T18" s="818"/>
      <c r="U18" s="818"/>
      <c r="V18" s="818"/>
      <c r="W18" s="818"/>
      <c r="X18" s="818"/>
      <c r="Y18" s="818"/>
      <c r="Z18" s="818"/>
      <c r="AA18" s="818"/>
      <c r="AB18" s="818"/>
      <c r="AC18" s="818"/>
      <c r="AD18" s="818"/>
      <c r="AE18" s="818"/>
      <c r="AF18" s="818"/>
      <c r="AG18" s="818"/>
      <c r="AH18" s="818"/>
      <c r="AI18" s="818"/>
      <c r="AJ18" s="818"/>
      <c r="AK18" s="818"/>
      <c r="AL18" s="818"/>
      <c r="AM18" s="818"/>
      <c r="AN18" s="818"/>
      <c r="AO18" s="818"/>
      <c r="AP18" s="818"/>
      <c r="AQ18" s="818"/>
      <c r="AR18" s="818"/>
      <c r="AS18" s="818"/>
      <c r="AT18" s="818"/>
      <c r="AU18" s="818"/>
      <c r="AV18" s="818"/>
      <c r="AW18" s="818"/>
      <c r="AX18" s="818"/>
      <c r="AY18" s="818"/>
      <c r="AZ18" s="818"/>
      <c r="BA18" s="818"/>
      <c r="BB18" s="818"/>
      <c r="BC18" s="818"/>
      <c r="BD18" s="818"/>
      <c r="BE18" s="818"/>
      <c r="BF18" s="818"/>
      <c r="BG18" s="818"/>
      <c r="BH18" s="818"/>
      <c r="BI18" s="818"/>
      <c r="BJ18" s="818"/>
      <c r="BK18" s="818"/>
      <c r="BL18" s="818"/>
    </row>
    <row r="19" spans="1:64">
      <c r="A19" s="976">
        <f>IF(B19&gt;0,"erwerbsunfähig, Merkzeichen G",0)</f>
        <v>0</v>
      </c>
      <c r="B19" s="1335">
        <f>SUM(C19:I19)</f>
        <v>0</v>
      </c>
      <c r="C19" s="522">
        <f>IF(EingabenÄnderungen!C34="nein",EingabenÄnderungen!C100,0)</f>
        <v>0</v>
      </c>
      <c r="D19" s="522">
        <f>IF(EingabenÄnderungen!D34="nein",EingabenÄnderungen!D100,0)</f>
        <v>0</v>
      </c>
      <c r="E19" s="522">
        <f>IF(EingabenÄnderungen!E34="nein",EingabenÄnderungen!E100,0)</f>
        <v>0</v>
      </c>
      <c r="F19" s="522">
        <f>IF(EingabenÄnderungen!F34="nein",EingabenÄnderungen!F100,0)</f>
        <v>0</v>
      </c>
      <c r="G19" s="522">
        <f>IF(EingabenÄnderungen!G34="nein",EingabenÄnderungen!G100,0)</f>
        <v>0</v>
      </c>
      <c r="H19" s="522">
        <f>IF(EingabenÄnderungen!H34="nein",EingabenÄnderungen!H100,0)</f>
        <v>0</v>
      </c>
      <c r="I19" s="523">
        <f>IF(EingabenÄnderungen!I34="nein",EingabenÄnderungen!I100,0)</f>
        <v>0</v>
      </c>
      <c r="L19" s="818"/>
      <c r="M19" s="818"/>
      <c r="N19" s="818"/>
      <c r="O19" s="818"/>
      <c r="P19" s="818"/>
      <c r="Q19" s="818"/>
      <c r="R19" s="818"/>
      <c r="S19" s="818"/>
      <c r="T19" s="818"/>
      <c r="U19" s="818"/>
      <c r="V19" s="818"/>
      <c r="W19" s="818"/>
      <c r="X19" s="818"/>
      <c r="Y19" s="818"/>
      <c r="Z19" s="818"/>
      <c r="AA19" s="818"/>
      <c r="AB19" s="818"/>
      <c r="AC19" s="818"/>
      <c r="AD19" s="818"/>
      <c r="AE19" s="818"/>
      <c r="AF19" s="818"/>
      <c r="AG19" s="818"/>
      <c r="AH19" s="818"/>
      <c r="AI19" s="818"/>
      <c r="AJ19" s="818"/>
      <c r="AK19" s="818"/>
      <c r="AL19" s="818"/>
      <c r="AM19" s="818"/>
      <c r="AN19" s="818"/>
      <c r="AO19" s="818"/>
      <c r="AP19" s="818"/>
      <c r="AQ19" s="818"/>
      <c r="AR19" s="818"/>
      <c r="AS19" s="818"/>
      <c r="AT19" s="818"/>
      <c r="AU19" s="818"/>
      <c r="AV19" s="818"/>
      <c r="AW19" s="818"/>
      <c r="AX19" s="818"/>
      <c r="AY19" s="818"/>
      <c r="AZ19" s="818"/>
      <c r="BA19" s="818"/>
      <c r="BB19" s="818"/>
      <c r="BC19" s="818"/>
      <c r="BD19" s="818"/>
      <c r="BE19" s="818"/>
      <c r="BF19" s="818"/>
      <c r="BG19" s="818"/>
      <c r="BH19" s="818"/>
      <c r="BI19" s="818"/>
      <c r="BJ19" s="818"/>
      <c r="BK19" s="818"/>
      <c r="BL19" s="818"/>
    </row>
    <row r="20" spans="1:64">
      <c r="A20" s="1336" t="s">
        <v>169</v>
      </c>
      <c r="B20" s="522"/>
      <c r="C20" s="518"/>
      <c r="D20" s="518"/>
      <c r="E20" s="518"/>
      <c r="F20" s="1016"/>
      <c r="G20" s="1016"/>
      <c r="H20" s="1016"/>
      <c r="I20" s="1017"/>
      <c r="L20" s="818"/>
      <c r="M20" s="818"/>
      <c r="N20" s="818"/>
      <c r="O20" s="818"/>
      <c r="P20" s="818"/>
      <c r="Q20" s="818"/>
      <c r="R20" s="818"/>
      <c r="S20" s="818"/>
      <c r="T20" s="818"/>
      <c r="U20" s="818"/>
      <c r="V20" s="818"/>
      <c r="W20" s="818"/>
      <c r="X20" s="818"/>
      <c r="Y20" s="818"/>
      <c r="Z20" s="818"/>
      <c r="AA20" s="818"/>
      <c r="AB20" s="818"/>
      <c r="AC20" s="818"/>
      <c r="AD20" s="818"/>
      <c r="AE20" s="818"/>
      <c r="AF20" s="818"/>
      <c r="AG20" s="818"/>
      <c r="AH20" s="818"/>
      <c r="AI20" s="818"/>
      <c r="AJ20" s="818"/>
      <c r="AK20" s="818"/>
      <c r="AL20" s="818"/>
      <c r="AM20" s="818"/>
      <c r="AN20" s="818"/>
      <c r="AO20" s="818"/>
      <c r="AP20" s="818"/>
      <c r="AQ20" s="818"/>
      <c r="AR20" s="818"/>
      <c r="AS20" s="818"/>
      <c r="AT20" s="818"/>
      <c r="AU20" s="818"/>
      <c r="AV20" s="818"/>
      <c r="AW20" s="818"/>
      <c r="AX20" s="818"/>
      <c r="AY20" s="818"/>
      <c r="AZ20" s="818"/>
      <c r="BA20" s="818"/>
      <c r="BB20" s="818"/>
      <c r="BC20" s="818"/>
      <c r="BD20" s="818"/>
      <c r="BE20" s="818"/>
      <c r="BF20" s="818"/>
      <c r="BG20" s="818"/>
      <c r="BH20" s="818"/>
      <c r="BI20" s="818"/>
      <c r="BJ20" s="818"/>
      <c r="BK20" s="818"/>
      <c r="BL20" s="818"/>
    </row>
    <row r="21" spans="1:64" ht="16.5" hidden="1" customHeight="1">
      <c r="A21" s="833"/>
      <c r="B21" s="522">
        <f>EingabenÄnderungen!C102</f>
        <v>0</v>
      </c>
      <c r="C21" s="522">
        <f>B21/B7</f>
        <v>0</v>
      </c>
      <c r="D21" s="522">
        <f>IF(D9=0,0,B21/B7)</f>
        <v>0</v>
      </c>
      <c r="E21" s="522">
        <f>IF(EingabenÄnderungen!E33=0,0,B21/B7)</f>
        <v>0</v>
      </c>
      <c r="F21" s="522">
        <f>IF(EingabenÄnderungen!F33=0,0,B21/B7)</f>
        <v>0</v>
      </c>
      <c r="G21" s="522">
        <f>IF(EingabenÄnderungen!G33=0,0,B21/B7)</f>
        <v>0</v>
      </c>
      <c r="H21" s="522">
        <f>IF(EingabenÄnderungen!H33=0,0,B21/B7)</f>
        <v>0</v>
      </c>
      <c r="I21" s="523">
        <f>IF(EingabenÄnderungen!I33=0,0,B21/B7)</f>
        <v>0</v>
      </c>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818"/>
      <c r="BA21" s="818"/>
      <c r="BB21" s="818"/>
      <c r="BC21" s="818"/>
      <c r="BD21" s="818"/>
      <c r="BE21" s="818"/>
      <c r="BF21" s="818"/>
      <c r="BG21" s="818"/>
      <c r="BH21" s="818"/>
      <c r="BI21" s="818"/>
      <c r="BJ21" s="818"/>
      <c r="BK21" s="818"/>
      <c r="BL21" s="818"/>
    </row>
    <row r="22" spans="1:64" ht="16.5" hidden="1" customHeight="1">
      <c r="A22" s="1337"/>
      <c r="B22" s="522">
        <f>SUM(C22:I22)</f>
        <v>0</v>
      </c>
      <c r="C22" s="522">
        <f>C21</f>
        <v>0</v>
      </c>
      <c r="D22" s="522">
        <f>D21</f>
        <v>0</v>
      </c>
      <c r="E22" s="522">
        <f>IF(EingabenÄnderungen!E8&gt;EingabenÄnderungen!E2,E21*EingabenÄnderungen!E14/30,IF(EingabenÄnderungen!E18=25,E21*EingabenÄnderungen!E10/30,E21))</f>
        <v>0</v>
      </c>
      <c r="F22" s="522">
        <f>IF(EingabenÄnderungen!F8&gt;EingabenÄnderungen!E2,F21*EingabenÄnderungen!F14/30,IF(EingabenÄnderungen!F18=25,F21*EingabenÄnderungen!F10/30,F21))</f>
        <v>0</v>
      </c>
      <c r="G22" s="522">
        <f>IF(EingabenÄnderungen!G8&gt;EingabenÄnderungen!E2,G21*EingabenÄnderungen!G14/30,IF(EingabenÄnderungen!G18=25,G21*EingabenÄnderungen!G10/30,G21))</f>
        <v>0</v>
      </c>
      <c r="H22" s="522">
        <f>IF(EingabenÄnderungen!H8&gt;EingabenÄnderungen!E2,H21*EingabenÄnderungen!H14/30,IF(EingabenÄnderungen!H18=25,H21*EingabenÄnderungen!H10/30,H21))</f>
        <v>0</v>
      </c>
      <c r="I22" s="523">
        <f>IF(EingabenÄnderungen!I8&gt;EingabenÄnderungen!E2,I21*EingabenÄnderungen!I14/30,IF(EingabenÄnderungen!I18=25,I21*EingabenÄnderungen!I10/30,I21))</f>
        <v>0</v>
      </c>
      <c r="K22" s="1338">
        <f>COUNTIF(C22:I22,C22)</f>
        <v>7</v>
      </c>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18"/>
      <c r="AY22" s="818"/>
      <c r="AZ22" s="818"/>
      <c r="BA22" s="818"/>
      <c r="BB22" s="818"/>
      <c r="BC22" s="818"/>
      <c r="BD22" s="818"/>
      <c r="BE22" s="818"/>
      <c r="BF22" s="818"/>
      <c r="BG22" s="818"/>
      <c r="BH22" s="818"/>
      <c r="BI22" s="818"/>
      <c r="BJ22" s="818"/>
      <c r="BK22" s="818"/>
      <c r="BL22" s="818"/>
    </row>
    <row r="23" spans="1:64" ht="16.5" hidden="1" customHeight="1">
      <c r="A23" s="833"/>
      <c r="B23" s="522">
        <f>SUM(C23:I23)</f>
        <v>0</v>
      </c>
      <c r="C23" s="522">
        <f>IF(AND(B22&lt;B21,C22=C21,C22&gt;0),C21+(B21-B22)/K22,C22)</f>
        <v>0</v>
      </c>
      <c r="D23" s="522">
        <f>IF(AND(B22&lt;B21,D22=D21,D22&gt;0),D21+(B21-B22)/K22,D22)</f>
        <v>0</v>
      </c>
      <c r="E23" s="522">
        <f>IF(AND(B22&lt;B21,E22=E21,E22&gt;0),E21+(B21-B22)/K22,E22)</f>
        <v>0</v>
      </c>
      <c r="F23" s="522">
        <f>IF(AND(B22&lt;B21,F22=F21,F22&gt;0),F21+(B21-B22)/K22,F22)</f>
        <v>0</v>
      </c>
      <c r="G23" s="522">
        <f>IF(AND(B22&lt;B21,G22=G21,G22&gt;0),G21+(B21-B22)/K22,G22)</f>
        <v>0</v>
      </c>
      <c r="H23" s="522">
        <f>IF(AND(B22&lt;B21,H22=H21,H22&gt;0),H21+(B21-B22)/K22,H22)</f>
        <v>0</v>
      </c>
      <c r="I23" s="523">
        <f>IF(AND(B22&lt;B21,I22=I21,I22&gt;0),I21+(B21-B22)/K22,I22)</f>
        <v>0</v>
      </c>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818"/>
      <c r="AL23" s="818"/>
      <c r="AM23" s="818"/>
      <c r="AN23" s="818"/>
      <c r="AO23" s="818"/>
      <c r="AP23" s="818"/>
      <c r="AQ23" s="818"/>
      <c r="AR23" s="818"/>
      <c r="AS23" s="818"/>
      <c r="AT23" s="818"/>
      <c r="AU23" s="818"/>
      <c r="AV23" s="818"/>
      <c r="AW23" s="818"/>
      <c r="AX23" s="818"/>
      <c r="AY23" s="818"/>
      <c r="AZ23" s="818"/>
      <c r="BA23" s="818"/>
      <c r="BB23" s="818"/>
      <c r="BC23" s="818"/>
      <c r="BD23" s="818"/>
      <c r="BE23" s="818"/>
      <c r="BF23" s="818"/>
      <c r="BG23" s="818"/>
      <c r="BH23" s="818"/>
      <c r="BI23" s="818"/>
      <c r="BJ23" s="818"/>
      <c r="BK23" s="818"/>
      <c r="BL23" s="818"/>
    </row>
    <row r="24" spans="1:64">
      <c r="A24" s="1339">
        <f>IF(B24&gt;0,EingabenÄnderungen!A102,0)</f>
        <v>0</v>
      </c>
      <c r="B24" s="1335">
        <f>SUM(C24:I24)</f>
        <v>0</v>
      </c>
      <c r="C24" s="522">
        <f>IF(EingabenÄnderungen!$K$18&gt;0,C22,C23)</f>
        <v>0</v>
      </c>
      <c r="D24" s="522">
        <f>IF(EingabenÄnderungen!$K$18&gt;0,D22,D23)</f>
        <v>0</v>
      </c>
      <c r="E24" s="522">
        <f>IF(EingabenÄnderungen!$K$18&gt;0,E22,E23)</f>
        <v>0</v>
      </c>
      <c r="F24" s="522">
        <f>IF(EingabenÄnderungen!$K$18&gt;0,F22,F23)</f>
        <v>0</v>
      </c>
      <c r="G24" s="522">
        <f>IF(EingabenÄnderungen!$K$18&gt;0,G22,G23)</f>
        <v>0</v>
      </c>
      <c r="H24" s="522">
        <f>IF(EingabenÄnderungen!$K$18&gt;0,H22,H23)</f>
        <v>0</v>
      </c>
      <c r="I24" s="523">
        <f>IF(EingabenÄnderungen!$K$18&gt;0,I22,I23)</f>
        <v>0</v>
      </c>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818"/>
      <c r="BA24" s="818"/>
      <c r="BB24" s="818"/>
      <c r="BC24" s="818"/>
      <c r="BD24" s="818"/>
      <c r="BE24" s="818"/>
      <c r="BF24" s="818"/>
      <c r="BG24" s="818"/>
      <c r="BH24" s="818"/>
      <c r="BI24" s="818"/>
      <c r="BJ24" s="818"/>
      <c r="BK24" s="818"/>
      <c r="BL24" s="818"/>
    </row>
    <row r="25" spans="1:64" ht="16.5" hidden="1" customHeight="1">
      <c r="A25" s="1592" t="str">
        <f>EingabenÄnderungen!A103</f>
        <v>weitere Kosten</v>
      </c>
      <c r="B25" s="522">
        <f>EingabenÄnderungen!C103</f>
        <v>0</v>
      </c>
      <c r="C25" s="522">
        <f>B25/B7</f>
        <v>0</v>
      </c>
      <c r="D25" s="522">
        <f>IF(D9="",0,B25/B7)</f>
        <v>0</v>
      </c>
      <c r="E25" s="522">
        <f>IF(E9="",0,B25/B7)</f>
        <v>0</v>
      </c>
      <c r="F25" s="522">
        <f>IF(F9="",0,B25/B7)</f>
        <v>0</v>
      </c>
      <c r="G25" s="522">
        <f>IF(G9="",0,B25/B7)</f>
        <v>0</v>
      </c>
      <c r="H25" s="522">
        <f>IF(H9="",0,B25/B7)</f>
        <v>0</v>
      </c>
      <c r="I25" s="523">
        <f>IF(I9="",0,B25/B7)</f>
        <v>0</v>
      </c>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18"/>
      <c r="AM25" s="818"/>
      <c r="AN25" s="818"/>
      <c r="AO25" s="818"/>
      <c r="AP25" s="818"/>
      <c r="AQ25" s="818"/>
      <c r="AR25" s="818"/>
      <c r="AS25" s="818"/>
      <c r="AT25" s="818"/>
      <c r="AU25" s="818"/>
      <c r="AV25" s="818"/>
      <c r="AW25" s="818"/>
      <c r="AX25" s="818"/>
      <c r="AY25" s="818"/>
      <c r="AZ25" s="818"/>
      <c r="BA25" s="818"/>
      <c r="BB25" s="818"/>
      <c r="BC25" s="818"/>
      <c r="BD25" s="818"/>
      <c r="BE25" s="818"/>
      <c r="BF25" s="818"/>
      <c r="BG25" s="818"/>
      <c r="BH25" s="818"/>
      <c r="BI25" s="818"/>
      <c r="BJ25" s="818"/>
      <c r="BK25" s="818"/>
      <c r="BL25" s="818"/>
    </row>
    <row r="26" spans="1:64" ht="16.5" hidden="1" customHeight="1">
      <c r="A26" s="1341"/>
      <c r="B26" s="522">
        <f>EingabenÄnderungen!C104</f>
        <v>0</v>
      </c>
      <c r="C26" s="522">
        <f>B26/B7</f>
        <v>0</v>
      </c>
      <c r="D26" s="522">
        <f>IF(D9=0,0,B26/B7)</f>
        <v>0</v>
      </c>
      <c r="E26" s="522">
        <f>IF(EingabenÄnderungen!E33=0,0,B26/B7)</f>
        <v>0</v>
      </c>
      <c r="F26" s="522">
        <f>IF(EingabenÄnderungen!F33=0,0,B26/B7)</f>
        <v>0</v>
      </c>
      <c r="G26" s="522">
        <f>IF(EingabenÄnderungen!G33=0,0,B26/B7)</f>
        <v>0</v>
      </c>
      <c r="H26" s="522">
        <f>IF(EingabenÄnderungen!H33=0,0,B26/B7)</f>
        <v>0</v>
      </c>
      <c r="I26" s="523">
        <f>IF(EingabenÄnderungen!I33=0,0,B26/B7)</f>
        <v>0</v>
      </c>
      <c r="L26" s="818"/>
      <c r="M26" s="818"/>
      <c r="N26" s="818"/>
      <c r="O26" s="818"/>
      <c r="P26" s="818"/>
      <c r="Q26" s="818"/>
      <c r="R26" s="818"/>
      <c r="S26" s="818"/>
      <c r="T26" s="818"/>
      <c r="U26" s="818"/>
      <c r="V26" s="818"/>
      <c r="W26" s="818"/>
      <c r="X26" s="818"/>
      <c r="Y26" s="818"/>
      <c r="Z26" s="818"/>
      <c r="AA26" s="818"/>
      <c r="AB26" s="818"/>
      <c r="AC26" s="818"/>
      <c r="AD26" s="818"/>
      <c r="AE26" s="818"/>
      <c r="AF26" s="818"/>
      <c r="AG26" s="818"/>
      <c r="AH26" s="818"/>
      <c r="AI26" s="818"/>
      <c r="AJ26" s="818"/>
      <c r="AK26" s="818"/>
      <c r="AL26" s="818"/>
      <c r="AM26" s="818"/>
      <c r="AN26" s="818"/>
      <c r="AO26" s="818"/>
      <c r="AP26" s="818"/>
      <c r="AQ26" s="818"/>
      <c r="AR26" s="818"/>
      <c r="AS26" s="818"/>
      <c r="AT26" s="818"/>
      <c r="AU26" s="818"/>
      <c r="AV26" s="818"/>
      <c r="AW26" s="818"/>
      <c r="AX26" s="818"/>
      <c r="AY26" s="818"/>
      <c r="AZ26" s="818"/>
      <c r="BA26" s="818"/>
      <c r="BB26" s="818"/>
      <c r="BC26" s="818"/>
      <c r="BD26" s="818"/>
      <c r="BE26" s="818"/>
      <c r="BF26" s="818"/>
      <c r="BG26" s="818"/>
      <c r="BH26" s="818"/>
      <c r="BI26" s="818"/>
      <c r="BJ26" s="818"/>
      <c r="BK26" s="818"/>
      <c r="BL26" s="818"/>
    </row>
    <row r="27" spans="1:64" ht="16.5" hidden="1" customHeight="1">
      <c r="A27" s="1339"/>
      <c r="B27" s="522">
        <f>SUM(C27:I27)</f>
        <v>0</v>
      </c>
      <c r="C27" s="522">
        <f>C26</f>
        <v>0</v>
      </c>
      <c r="D27" s="522">
        <f>D26</f>
        <v>0</v>
      </c>
      <c r="E27" s="522">
        <f>IF(EingabenÄnderungen!E8&gt;EingabenÄnderungen!E2,E26*EingabenÄnderungen!E14/30,IF(EingabenÄnderungen!E18=25,E26*EingabenÄnderungen!E10/30,E26))</f>
        <v>0</v>
      </c>
      <c r="F27" s="522">
        <f>IF(EingabenÄnderungen!F8&gt;EingabenÄnderungen!E2,F26*EingabenÄnderungen!F14/30,IF(EingabenÄnderungen!F18=25,F26*EingabenÄnderungen!F10/30,F26))</f>
        <v>0</v>
      </c>
      <c r="G27" s="522">
        <f>IF(EingabenÄnderungen!G8&gt;EingabenÄnderungen!E2,G26*EingabenÄnderungen!G14/30,IF(EingabenÄnderungen!G18=25,G26*EingabenÄnderungen!G10/30,G26))</f>
        <v>0</v>
      </c>
      <c r="H27" s="522">
        <f>IF(EingabenÄnderungen!H8&gt;EingabenÄnderungen!E2,H26*EingabenÄnderungen!H14/30,IF(EingabenÄnderungen!H18=25,H26*EingabenÄnderungen!H10/30,H26))</f>
        <v>0</v>
      </c>
      <c r="I27" s="523">
        <f>IF(EingabenÄnderungen!I8&gt;EingabenÄnderungen!E2,I26*EingabenÄnderungen!I14/30,IF(EingabenÄnderungen!I18=25,I26*EingabenÄnderungen!I10/30,I26))</f>
        <v>0</v>
      </c>
      <c r="K27" s="1338">
        <f>COUNTIF(C27:I27,C27)</f>
        <v>7</v>
      </c>
      <c r="L27" s="818"/>
      <c r="M27" s="818"/>
      <c r="N27" s="818"/>
      <c r="O27" s="818"/>
      <c r="P27" s="818"/>
      <c r="Q27" s="818"/>
      <c r="R27" s="818"/>
      <c r="S27" s="818"/>
      <c r="T27" s="818"/>
      <c r="U27" s="818"/>
      <c r="V27" s="818"/>
      <c r="W27" s="818"/>
      <c r="X27" s="818"/>
      <c r="Y27" s="818"/>
      <c r="Z27" s="818"/>
      <c r="AA27" s="818"/>
      <c r="AB27" s="818"/>
      <c r="AC27" s="818"/>
      <c r="AD27" s="818"/>
      <c r="AE27" s="818"/>
      <c r="AF27" s="818"/>
      <c r="AG27" s="818"/>
      <c r="AH27" s="818"/>
      <c r="AI27" s="818"/>
      <c r="AJ27" s="818"/>
      <c r="AK27" s="818"/>
      <c r="AL27" s="818"/>
      <c r="AM27" s="818"/>
      <c r="AN27" s="818"/>
      <c r="AO27" s="818"/>
      <c r="AP27" s="818"/>
      <c r="AQ27" s="818"/>
      <c r="AR27" s="818"/>
      <c r="AS27" s="818"/>
      <c r="AT27" s="818"/>
      <c r="AU27" s="818"/>
      <c r="AV27" s="818"/>
      <c r="AW27" s="818"/>
      <c r="AX27" s="818"/>
      <c r="AY27" s="818"/>
      <c r="AZ27" s="818"/>
      <c r="BA27" s="818"/>
      <c r="BB27" s="818"/>
      <c r="BC27" s="818"/>
      <c r="BD27" s="818"/>
      <c r="BE27" s="818"/>
      <c r="BF27" s="818"/>
      <c r="BG27" s="818"/>
      <c r="BH27" s="818"/>
      <c r="BI27" s="818"/>
      <c r="BJ27" s="818"/>
      <c r="BK27" s="818"/>
      <c r="BL27" s="818"/>
    </row>
    <row r="28" spans="1:64" ht="16.5" hidden="1" customHeight="1">
      <c r="A28" s="1341"/>
      <c r="B28" s="522">
        <f>SUM(C28:I28)</f>
        <v>0</v>
      </c>
      <c r="C28" s="522">
        <f>IF(AND(B27&lt;B26,C27=C26,C27&gt;0),C26+(B26-B27)/K27,C27)</f>
        <v>0</v>
      </c>
      <c r="D28" s="522">
        <f>IF(AND(B27&lt;B26,D27=D26,D27&gt;0),D26+(B26-B27)/K27,D27)</f>
        <v>0</v>
      </c>
      <c r="E28" s="522">
        <f>IF(AND(B27&lt;B26,E27=E26,E27&gt;0),E26+(B26-B27)/K27,E27)</f>
        <v>0</v>
      </c>
      <c r="F28" s="522">
        <f>IF(AND(B27&lt;B26,F27=F26,F27&gt;0),F26+(B26-B27)/K27,F27)</f>
        <v>0</v>
      </c>
      <c r="G28" s="522">
        <f>IF(AND(B27&lt;B26,G27=G26,G27&gt;0),G26+(B26-B27)/K27,G27)</f>
        <v>0</v>
      </c>
      <c r="H28" s="522">
        <f>IF(AND(B27&lt;B26,H27=H26,H27&gt;0),H26+(B26-B27)/K27,H27)</f>
        <v>0</v>
      </c>
      <c r="I28" s="523">
        <f>IF(AND(B27&lt;B26,I27=I26,I27&gt;0),I26+(B26-B27)/K27,I27)</f>
        <v>0</v>
      </c>
      <c r="L28" s="818"/>
      <c r="M28" s="818"/>
      <c r="N28" s="818"/>
      <c r="O28" s="818"/>
      <c r="P28" s="818"/>
      <c r="Q28" s="818"/>
      <c r="R28" s="818"/>
      <c r="S28" s="818"/>
      <c r="T28" s="818"/>
      <c r="U28" s="818"/>
      <c r="V28" s="818"/>
      <c r="W28" s="818"/>
      <c r="X28" s="818"/>
      <c r="Y28" s="818"/>
      <c r="Z28" s="818"/>
      <c r="AA28" s="818"/>
      <c r="AB28" s="818"/>
      <c r="AC28" s="818"/>
      <c r="AD28" s="818"/>
      <c r="AE28" s="818"/>
      <c r="AF28" s="818"/>
      <c r="AG28" s="818"/>
      <c r="AH28" s="818"/>
      <c r="AI28" s="818"/>
      <c r="AJ28" s="818"/>
      <c r="AK28" s="818"/>
      <c r="AL28" s="818"/>
      <c r="AM28" s="818"/>
      <c r="AN28" s="818"/>
      <c r="AO28" s="818"/>
      <c r="AP28" s="818"/>
      <c r="AQ28" s="818"/>
      <c r="AR28" s="818"/>
      <c r="AS28" s="818"/>
      <c r="AT28" s="818"/>
      <c r="AU28" s="818"/>
      <c r="AV28" s="818"/>
      <c r="AW28" s="818"/>
      <c r="AX28" s="818"/>
      <c r="AY28" s="818"/>
      <c r="AZ28" s="818"/>
      <c r="BA28" s="818"/>
      <c r="BB28" s="818"/>
      <c r="BC28" s="818"/>
      <c r="BD28" s="818"/>
      <c r="BE28" s="818"/>
      <c r="BF28" s="818"/>
      <c r="BG28" s="818"/>
      <c r="BH28" s="818"/>
      <c r="BI28" s="818"/>
      <c r="BJ28" s="818"/>
      <c r="BK28" s="818"/>
      <c r="BL28" s="818"/>
    </row>
    <row r="29" spans="1:64">
      <c r="A29" s="1339">
        <f>IF(B29&gt;0,EingabenÄnderungen!A104,0)</f>
        <v>0</v>
      </c>
      <c r="B29" s="1335">
        <f>SUM(C29:I29)</f>
        <v>0</v>
      </c>
      <c r="C29" s="522">
        <f>IF(EingabenÄnderungen!$K$18&gt;0,C27,C28)</f>
        <v>0</v>
      </c>
      <c r="D29" s="522">
        <f>IF(EingabenÄnderungen!$K$18&gt;0,D27,D28)</f>
        <v>0</v>
      </c>
      <c r="E29" s="522">
        <f>IF(EingabenÄnderungen!$K$18&gt;0,E27,E28)</f>
        <v>0</v>
      </c>
      <c r="F29" s="522">
        <f>IF(EingabenÄnderungen!$K$18&gt;0,F27,F28)</f>
        <v>0</v>
      </c>
      <c r="G29" s="522">
        <f>IF(EingabenÄnderungen!$K$18&gt;0,G27,G28)</f>
        <v>0</v>
      </c>
      <c r="H29" s="522">
        <f>IF(EingabenÄnderungen!$K$18&gt;0,H27,H28)</f>
        <v>0</v>
      </c>
      <c r="I29" s="523">
        <f>IF(EingabenÄnderungen!$K$18&gt;0,I27,I28)</f>
        <v>0</v>
      </c>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818"/>
      <c r="AW29" s="818"/>
      <c r="AX29" s="818"/>
      <c r="AY29" s="818"/>
      <c r="AZ29" s="818"/>
      <c r="BA29" s="818"/>
      <c r="BB29" s="818"/>
      <c r="BC29" s="818"/>
      <c r="BD29" s="818"/>
      <c r="BE29" s="818"/>
      <c r="BF29" s="818"/>
      <c r="BG29" s="818"/>
      <c r="BH29" s="818"/>
      <c r="BI29" s="818"/>
      <c r="BJ29" s="818"/>
      <c r="BK29" s="818"/>
      <c r="BL29" s="818"/>
    </row>
    <row r="30" spans="1:64" ht="16.5" hidden="1" customHeight="1">
      <c r="A30" s="1341"/>
      <c r="B30" s="522">
        <f>EingabenÄnderungen!C105</f>
        <v>0</v>
      </c>
      <c r="C30" s="522">
        <f>B30/B7</f>
        <v>0</v>
      </c>
      <c r="D30" s="522">
        <f>IF(D9=0,0,B30/B7)</f>
        <v>0</v>
      </c>
      <c r="E30" s="522">
        <f>IF(EingabenÄnderungen!E33=0,0,B30/B7)</f>
        <v>0</v>
      </c>
      <c r="F30" s="522">
        <f>IF(EingabenÄnderungen!F33=0,0,B30/B7)</f>
        <v>0</v>
      </c>
      <c r="G30" s="522">
        <f>IF(EingabenÄnderungen!G33=0,0,B30/B7)</f>
        <v>0</v>
      </c>
      <c r="H30" s="522">
        <f>IF(EingabenÄnderungen!H33=0,0,B30/B7)</f>
        <v>0</v>
      </c>
      <c r="I30" s="523">
        <f>IF(EingabenÄnderungen!I33=0,0,B30/B7)</f>
        <v>0</v>
      </c>
      <c r="L30" s="818"/>
      <c r="M30" s="818"/>
      <c r="N30" s="818"/>
      <c r="O30" s="818"/>
      <c r="P30" s="818"/>
      <c r="Q30" s="818"/>
      <c r="R30" s="818"/>
      <c r="S30" s="818"/>
      <c r="T30" s="818"/>
      <c r="U30" s="818"/>
      <c r="V30" s="818"/>
      <c r="W30" s="818"/>
      <c r="X30" s="818"/>
      <c r="Y30" s="818"/>
      <c r="Z30" s="818"/>
      <c r="AA30" s="818"/>
      <c r="AB30" s="818"/>
      <c r="AC30" s="818"/>
      <c r="AD30" s="818"/>
      <c r="AE30" s="818"/>
      <c r="AF30" s="818"/>
      <c r="AG30" s="818"/>
      <c r="AH30" s="818"/>
      <c r="AI30" s="818"/>
      <c r="AJ30" s="818"/>
      <c r="AK30" s="818"/>
      <c r="AL30" s="818"/>
      <c r="AM30" s="818"/>
      <c r="AN30" s="818"/>
      <c r="AO30" s="818"/>
      <c r="AP30" s="818"/>
      <c r="AQ30" s="818"/>
      <c r="AR30" s="818"/>
      <c r="AS30" s="818"/>
      <c r="AT30" s="818"/>
      <c r="AU30" s="818"/>
      <c r="AV30" s="818"/>
      <c r="AW30" s="818"/>
      <c r="AX30" s="818"/>
      <c r="AY30" s="818"/>
      <c r="AZ30" s="818"/>
      <c r="BA30" s="818"/>
      <c r="BB30" s="818"/>
      <c r="BC30" s="818"/>
      <c r="BD30" s="818"/>
      <c r="BE30" s="818"/>
      <c r="BF30" s="818"/>
      <c r="BG30" s="818"/>
      <c r="BH30" s="818"/>
      <c r="BI30" s="818"/>
      <c r="BJ30" s="818"/>
      <c r="BK30" s="818"/>
      <c r="BL30" s="818"/>
    </row>
    <row r="31" spans="1:64" ht="16.5" hidden="1" customHeight="1">
      <c r="A31" s="1339"/>
      <c r="B31" s="522">
        <f>SUM(C31:I31)</f>
        <v>0</v>
      </c>
      <c r="C31" s="522">
        <f>C30</f>
        <v>0</v>
      </c>
      <c r="D31" s="522">
        <f>D30</f>
        <v>0</v>
      </c>
      <c r="E31" s="522">
        <f>IF(EingabenÄnderungen!E8&gt;EingabenÄnderungen!E2,E30*EingabenÄnderungen!E14/30,IF(EingabenÄnderungen!E18=25,E30*EingabenÄnderungen!E10/30,E30))</f>
        <v>0</v>
      </c>
      <c r="F31" s="522">
        <f>IF(EingabenÄnderungen!F8&gt;EingabenÄnderungen!E2,F30*EingabenÄnderungen!F14/30,IF(EingabenÄnderungen!F18=25,F30*EingabenÄnderungen!F10/30,F30))</f>
        <v>0</v>
      </c>
      <c r="G31" s="522">
        <f>IF(EingabenÄnderungen!G8&gt;EingabenÄnderungen!E2,G30*EingabenÄnderungen!G14/30,IF(EingabenÄnderungen!G18=25,G30*EingabenÄnderungen!G10/30,G30))</f>
        <v>0</v>
      </c>
      <c r="H31" s="522">
        <f>IF(EingabenÄnderungen!H8&gt;EingabenÄnderungen!E2,H30*EingabenÄnderungen!H14/30,IF(EingabenÄnderungen!H18=25,H30*EingabenÄnderungen!H10/30,H30))</f>
        <v>0</v>
      </c>
      <c r="I31" s="523">
        <f>IF(EingabenÄnderungen!I8&gt;EingabenÄnderungen!E2,I30*EingabenÄnderungen!I14/30,IF(EingabenÄnderungen!I18=25,I30*EingabenÄnderungen!I10/30,I30))</f>
        <v>0</v>
      </c>
      <c r="K31" s="1338">
        <f>COUNTIF(C31:I31,C31)</f>
        <v>7</v>
      </c>
      <c r="L31" s="818"/>
      <c r="M31" s="818"/>
      <c r="N31" s="818"/>
      <c r="O31" s="818"/>
      <c r="P31" s="818"/>
      <c r="Q31" s="818"/>
      <c r="R31" s="818"/>
      <c r="S31" s="818"/>
      <c r="T31" s="818"/>
      <c r="U31" s="818"/>
      <c r="V31" s="818"/>
      <c r="W31" s="818"/>
      <c r="X31" s="818"/>
      <c r="Y31" s="818"/>
      <c r="Z31" s="818"/>
      <c r="AA31" s="818"/>
      <c r="AB31" s="818"/>
      <c r="AC31" s="818"/>
      <c r="AD31" s="818"/>
      <c r="AE31" s="818"/>
      <c r="AF31" s="818"/>
      <c r="AG31" s="818"/>
      <c r="AH31" s="818"/>
      <c r="AI31" s="818"/>
      <c r="AJ31" s="818"/>
      <c r="AK31" s="818"/>
      <c r="AL31" s="818"/>
      <c r="AM31" s="818"/>
      <c r="AN31" s="818"/>
      <c r="AO31" s="818"/>
      <c r="AP31" s="818"/>
      <c r="AQ31" s="818"/>
      <c r="AR31" s="818"/>
      <c r="AS31" s="818"/>
      <c r="AT31" s="818"/>
      <c r="AU31" s="818"/>
      <c r="AV31" s="818"/>
      <c r="AW31" s="818"/>
      <c r="AX31" s="818"/>
      <c r="AY31" s="818"/>
      <c r="AZ31" s="818"/>
      <c r="BA31" s="818"/>
      <c r="BB31" s="818"/>
      <c r="BC31" s="818"/>
      <c r="BD31" s="818"/>
      <c r="BE31" s="818"/>
      <c r="BF31" s="818"/>
      <c r="BG31" s="818"/>
      <c r="BH31" s="818"/>
      <c r="BI31" s="818"/>
      <c r="BJ31" s="818"/>
      <c r="BK31" s="818"/>
      <c r="BL31" s="818"/>
    </row>
    <row r="32" spans="1:64" ht="16.5" hidden="1" customHeight="1">
      <c r="A32" s="1341"/>
      <c r="B32" s="522">
        <f>SUM(C32:I32)</f>
        <v>0</v>
      </c>
      <c r="C32" s="522">
        <f>IF(AND(B31&lt;B30,C31=C30,C31&gt;0),C30+(B30-B31)/K31,C31)</f>
        <v>0</v>
      </c>
      <c r="D32" s="522">
        <f>IF(AND(B31&lt;B30,D31=D30,D31&gt;0),D30+(B30-B31)/K31,D31)</f>
        <v>0</v>
      </c>
      <c r="E32" s="522">
        <f>IF(AND(B31&lt;B30,E31=E30,E31&gt;0),E30+(B30-B31)/K31,E31)</f>
        <v>0</v>
      </c>
      <c r="F32" s="522">
        <f>IF(AND(B31&lt;B30,F31=F30,F31&gt;0),F30+(B30-B31)/K31,F31)</f>
        <v>0</v>
      </c>
      <c r="G32" s="522">
        <f>IF(AND(B31&lt;B30,G31=G30,G31&gt;0),G30+(B30-B31)/K31,G31)</f>
        <v>0</v>
      </c>
      <c r="H32" s="522">
        <f>IF(AND(B31&lt;B30,H31=H30,H31&gt;0),H30+(B30-B31)/K31,H31)</f>
        <v>0</v>
      </c>
      <c r="I32" s="523">
        <f>IF(AND(B31&lt;B30,I31=I30,I31&gt;0),I30+(B30-B31)/K31,I31)</f>
        <v>0</v>
      </c>
      <c r="L32" s="818"/>
      <c r="M32" s="818"/>
      <c r="N32" s="818"/>
      <c r="O32" s="818"/>
      <c r="P32" s="818"/>
      <c r="Q32" s="818"/>
      <c r="R32" s="818"/>
      <c r="S32" s="818"/>
      <c r="T32" s="818"/>
      <c r="U32" s="818"/>
      <c r="V32" s="818"/>
      <c r="W32" s="818"/>
      <c r="X32" s="818"/>
      <c r="Y32" s="818"/>
      <c r="Z32" s="818"/>
      <c r="AA32" s="818"/>
      <c r="AB32" s="818"/>
      <c r="AC32" s="818"/>
      <c r="AD32" s="818"/>
      <c r="AE32" s="818"/>
      <c r="AF32" s="818"/>
      <c r="AG32" s="818"/>
      <c r="AH32" s="818"/>
      <c r="AI32" s="818"/>
      <c r="AJ32" s="818"/>
      <c r="AK32" s="818"/>
      <c r="AL32" s="818"/>
      <c r="AM32" s="818"/>
      <c r="AN32" s="818"/>
      <c r="AO32" s="818"/>
      <c r="AP32" s="818"/>
      <c r="AQ32" s="818"/>
      <c r="AR32" s="818"/>
      <c r="AS32" s="818"/>
      <c r="AT32" s="818"/>
      <c r="AU32" s="818"/>
      <c r="AV32" s="818"/>
      <c r="AW32" s="818"/>
      <c r="AX32" s="818"/>
      <c r="AY32" s="818"/>
      <c r="AZ32" s="818"/>
      <c r="BA32" s="818"/>
      <c r="BB32" s="818"/>
      <c r="BC32" s="818"/>
      <c r="BD32" s="818"/>
      <c r="BE32" s="818"/>
      <c r="BF32" s="818"/>
      <c r="BG32" s="818"/>
      <c r="BH32" s="818"/>
      <c r="BI32" s="818"/>
      <c r="BJ32" s="818"/>
      <c r="BK32" s="818"/>
      <c r="BL32" s="818"/>
    </row>
    <row r="33" spans="1:64">
      <c r="A33" s="1339">
        <f>IF(B33&gt;0,EingabenÄnderungen!A105,0)</f>
        <v>0</v>
      </c>
      <c r="B33" s="1335">
        <f>SUM(C33:I33)</f>
        <v>0</v>
      </c>
      <c r="C33" s="522">
        <f>IF(EingabenÄnderungen!$K$18&gt;0,C31,C32)</f>
        <v>0</v>
      </c>
      <c r="D33" s="522">
        <f>IF(EingabenÄnderungen!$K$18&gt;0,D31,D32)</f>
        <v>0</v>
      </c>
      <c r="E33" s="522">
        <f>IF(EingabenÄnderungen!$K$18&gt;0,E31,E32)</f>
        <v>0</v>
      </c>
      <c r="F33" s="522">
        <f>IF(EingabenÄnderungen!$K$18&gt;0,F31,F32)</f>
        <v>0</v>
      </c>
      <c r="G33" s="522">
        <f>IF(EingabenÄnderungen!$K$18&gt;0,G31,G32)</f>
        <v>0</v>
      </c>
      <c r="H33" s="522">
        <f>IF(EingabenÄnderungen!$K$18&gt;0,H31,H32)</f>
        <v>0</v>
      </c>
      <c r="I33" s="523">
        <f>IF(EingabenÄnderungen!$K$18&gt;0,I31,I32)</f>
        <v>0</v>
      </c>
      <c r="L33" s="818"/>
      <c r="M33" s="818"/>
      <c r="N33" s="818"/>
      <c r="O33" s="818"/>
      <c r="P33" s="818"/>
      <c r="Q33" s="818"/>
      <c r="R33" s="818"/>
      <c r="S33" s="818"/>
      <c r="T33" s="818"/>
      <c r="U33" s="818"/>
      <c r="V33" s="818"/>
      <c r="W33" s="818"/>
      <c r="X33" s="818"/>
      <c r="Y33" s="818"/>
      <c r="Z33" s="818"/>
      <c r="AA33" s="818"/>
      <c r="AB33" s="818"/>
      <c r="AC33" s="818"/>
      <c r="AD33" s="818"/>
      <c r="AE33" s="818"/>
      <c r="AF33" s="818"/>
      <c r="AG33" s="818"/>
      <c r="AH33" s="818"/>
      <c r="AI33" s="818"/>
      <c r="AJ33" s="818"/>
      <c r="AK33" s="818"/>
      <c r="AL33" s="818"/>
      <c r="AM33" s="818"/>
      <c r="AN33" s="818"/>
      <c r="AO33" s="818"/>
      <c r="AP33" s="818"/>
      <c r="AQ33" s="818"/>
      <c r="AR33" s="818"/>
      <c r="AS33" s="818"/>
      <c r="AT33" s="818"/>
      <c r="AU33" s="818"/>
      <c r="AV33" s="818"/>
      <c r="AW33" s="818"/>
      <c r="AX33" s="818"/>
      <c r="AY33" s="818"/>
      <c r="AZ33" s="818"/>
      <c r="BA33" s="818"/>
      <c r="BB33" s="818"/>
      <c r="BC33" s="818"/>
      <c r="BD33" s="818"/>
      <c r="BE33" s="818"/>
      <c r="BF33" s="818"/>
      <c r="BG33" s="818"/>
      <c r="BH33" s="818"/>
      <c r="BI33" s="818"/>
      <c r="BJ33" s="818"/>
      <c r="BK33" s="818"/>
      <c r="BL33" s="818"/>
    </row>
    <row r="34" spans="1:64" ht="16.5" hidden="1" customHeight="1">
      <c r="A34" s="1341"/>
      <c r="B34" s="522">
        <f>EingabenÄnderungen!C106</f>
        <v>0</v>
      </c>
      <c r="C34" s="522">
        <f>B34/B7</f>
        <v>0</v>
      </c>
      <c r="D34" s="522">
        <f>IF(D9=0,0,B34/B7)</f>
        <v>0</v>
      </c>
      <c r="E34" s="522">
        <f>IF(EingabenÄnderungen!E33=0,0,B34/B7)</f>
        <v>0</v>
      </c>
      <c r="F34" s="522">
        <f>IF(EingabenÄnderungen!F33=0,0,B34/B7)</f>
        <v>0</v>
      </c>
      <c r="G34" s="522">
        <f>IF(EingabenÄnderungen!G33=0,0,B34/B7)</f>
        <v>0</v>
      </c>
      <c r="H34" s="522">
        <f>IF(EingabenÄnderungen!H33=0,0,B34/B7)</f>
        <v>0</v>
      </c>
      <c r="I34" s="523">
        <f>IF(EingabenÄnderungen!I33=0,0,B34/B7)</f>
        <v>0</v>
      </c>
      <c r="L34" s="818"/>
      <c r="M34" s="818"/>
      <c r="N34" s="818"/>
      <c r="O34" s="818"/>
      <c r="P34" s="818"/>
      <c r="Q34" s="818"/>
      <c r="R34" s="818"/>
      <c r="S34" s="818"/>
      <c r="T34" s="818"/>
      <c r="U34" s="818"/>
      <c r="V34" s="818"/>
      <c r="W34" s="818"/>
      <c r="X34" s="818"/>
      <c r="Y34" s="818"/>
      <c r="Z34" s="818"/>
      <c r="AA34" s="818"/>
      <c r="AB34" s="818"/>
      <c r="AC34" s="818"/>
      <c r="AD34" s="818"/>
      <c r="AE34" s="818"/>
      <c r="AF34" s="818"/>
      <c r="AG34" s="818"/>
      <c r="AH34" s="818"/>
      <c r="AI34" s="818"/>
      <c r="AJ34" s="818"/>
      <c r="AK34" s="818"/>
      <c r="AL34" s="818"/>
      <c r="AM34" s="818"/>
      <c r="AN34" s="818"/>
      <c r="AO34" s="818"/>
      <c r="AP34" s="818"/>
      <c r="AQ34" s="818"/>
      <c r="AR34" s="818"/>
      <c r="AS34" s="818"/>
      <c r="AT34" s="818"/>
      <c r="AU34" s="818"/>
      <c r="AV34" s="818"/>
      <c r="AW34" s="818"/>
      <c r="AX34" s="818"/>
      <c r="AY34" s="818"/>
      <c r="AZ34" s="818"/>
      <c r="BA34" s="818"/>
      <c r="BB34" s="818"/>
      <c r="BC34" s="818"/>
      <c r="BD34" s="818"/>
      <c r="BE34" s="818"/>
      <c r="BF34" s="818"/>
      <c r="BG34" s="818"/>
      <c r="BH34" s="818"/>
      <c r="BI34" s="818"/>
      <c r="BJ34" s="818"/>
      <c r="BK34" s="818"/>
      <c r="BL34" s="818"/>
    </row>
    <row r="35" spans="1:64" ht="16.5" hidden="1" customHeight="1">
      <c r="A35" s="1339"/>
      <c r="B35" s="522">
        <f t="shared" ref="B35:B42" si="0">SUM(C35:I35)</f>
        <v>0</v>
      </c>
      <c r="C35" s="522">
        <f>C34</f>
        <v>0</v>
      </c>
      <c r="D35" s="522">
        <f>D34</f>
        <v>0</v>
      </c>
      <c r="E35" s="522">
        <f>IF(EingabenÄnderungen!E8&gt;EingabenÄnderungen!E2,E34*EingabenÄnderungen!E14/30,IF(EingabenÄnderungen!E18=25,E34*EingabenÄnderungen!E10/30,E34))</f>
        <v>0</v>
      </c>
      <c r="F35" s="522">
        <f>IF(EingabenÄnderungen!F8&gt;EingabenÄnderungen!E2,F34*EingabenÄnderungen!F14/30,IF(EingabenÄnderungen!F18=25,F34*EingabenÄnderungen!F10/30,F34))</f>
        <v>0</v>
      </c>
      <c r="G35" s="522">
        <f>IF(EingabenÄnderungen!G8&gt;EingabenÄnderungen!E2,G34*EingabenÄnderungen!G14/30,IF(EingabenÄnderungen!G18=25,G34*EingabenÄnderungen!G10/30,G34))</f>
        <v>0</v>
      </c>
      <c r="H35" s="522">
        <f>IF(EingabenÄnderungen!H8&gt;EingabenÄnderungen!E2,H34*EingabenÄnderungen!H14/30,IF(EingabenÄnderungen!H18=25,H34*EingabenÄnderungen!H10/30,H34))</f>
        <v>0</v>
      </c>
      <c r="I35" s="523">
        <f>IF(EingabenÄnderungen!I8&gt;EingabenÄnderungen!E2,I34*EingabenÄnderungen!I14/30,IF(EingabenÄnderungen!I18=25,I34*EingabenÄnderungen!I10/30,I34))</f>
        <v>0</v>
      </c>
      <c r="K35" s="1338">
        <f>COUNTIF(C35:I35,C35)</f>
        <v>7</v>
      </c>
      <c r="L35" s="818"/>
      <c r="M35" s="818"/>
      <c r="N35" s="818"/>
      <c r="O35" s="818"/>
      <c r="P35" s="818"/>
      <c r="Q35" s="818"/>
      <c r="R35" s="818"/>
      <c r="S35" s="818"/>
      <c r="T35" s="818"/>
      <c r="U35" s="818"/>
      <c r="V35" s="818"/>
      <c r="W35" s="818"/>
      <c r="X35" s="818"/>
      <c r="Y35" s="818"/>
      <c r="Z35" s="818"/>
      <c r="AA35" s="818"/>
      <c r="AB35" s="818"/>
      <c r="AC35" s="818"/>
      <c r="AD35" s="818"/>
      <c r="AE35" s="818"/>
      <c r="AF35" s="818"/>
      <c r="AG35" s="818"/>
      <c r="AH35" s="818"/>
      <c r="AI35" s="818"/>
      <c r="AJ35" s="818"/>
      <c r="AK35" s="818"/>
      <c r="AL35" s="818"/>
      <c r="AM35" s="818"/>
      <c r="AN35" s="818"/>
      <c r="AO35" s="818"/>
      <c r="AP35" s="818"/>
      <c r="AQ35" s="818"/>
      <c r="AR35" s="818"/>
      <c r="AS35" s="818"/>
      <c r="AT35" s="818"/>
      <c r="AU35" s="818"/>
      <c r="AV35" s="818"/>
      <c r="AW35" s="818"/>
      <c r="AX35" s="818"/>
      <c r="AY35" s="818"/>
      <c r="AZ35" s="818"/>
      <c r="BA35" s="818"/>
      <c r="BB35" s="818"/>
      <c r="BC35" s="818"/>
      <c r="BD35" s="818"/>
      <c r="BE35" s="818"/>
      <c r="BF35" s="818"/>
      <c r="BG35" s="818"/>
      <c r="BH35" s="818"/>
      <c r="BI35" s="818"/>
      <c r="BJ35" s="818"/>
      <c r="BK35" s="818"/>
      <c r="BL35" s="818"/>
    </row>
    <row r="36" spans="1:64" ht="16.5" hidden="1" customHeight="1">
      <c r="A36" s="1341"/>
      <c r="B36" s="522">
        <f t="shared" si="0"/>
        <v>0</v>
      </c>
      <c r="C36" s="522">
        <f>IF(AND(B35&lt;B34,C35=C34,C35&gt;0),C34+(B34-B35)/K35,C35)</f>
        <v>0</v>
      </c>
      <c r="D36" s="522">
        <f>IF(AND(B35&lt;B34,D35=D34,D35&gt;0),D34+(B34-B35)/K35,D35)</f>
        <v>0</v>
      </c>
      <c r="E36" s="522">
        <f>IF(AND(B35&lt;B34,E35=E34,E35&gt;0),E34+(B34-B35)/K35,E35)</f>
        <v>0</v>
      </c>
      <c r="F36" s="522">
        <f>IF(AND(B35&lt;B34,F35=F34,F35&gt;0),F34+(B34-B35)/K35,F35)</f>
        <v>0</v>
      </c>
      <c r="G36" s="522">
        <f>IF(AND(B35&lt;B34,G35=G34,G35&gt;0),G34+(B34-B35)/K35,G35)</f>
        <v>0</v>
      </c>
      <c r="H36" s="522">
        <f>IF(AND(B35&lt;B34,H35=H34,H35&gt;0),H34+(B34-B35)/K35,H35)</f>
        <v>0</v>
      </c>
      <c r="I36" s="523">
        <f>IF(AND(B35&lt;B34,I35=I34,I35&gt;0),I34+(B34-B35)/K35,I35)</f>
        <v>0</v>
      </c>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8"/>
      <c r="AY36" s="818"/>
      <c r="AZ36" s="818"/>
      <c r="BA36" s="818"/>
      <c r="BB36" s="818"/>
      <c r="BC36" s="818"/>
      <c r="BD36" s="818"/>
      <c r="BE36" s="818"/>
      <c r="BF36" s="818"/>
      <c r="BG36" s="818"/>
      <c r="BH36" s="818"/>
      <c r="BI36" s="818"/>
      <c r="BJ36" s="818"/>
      <c r="BK36" s="818"/>
      <c r="BL36" s="818"/>
    </row>
    <row r="37" spans="1:64">
      <c r="A37" s="1339">
        <f>IF(B37&gt;0,EingabenÄnderungen!A106,0)</f>
        <v>0</v>
      </c>
      <c r="B37" s="1335">
        <f t="shared" si="0"/>
        <v>0</v>
      </c>
      <c r="C37" s="522">
        <f>IF(EingabenÄnderungen!$K$18&gt;0,C35,C36)</f>
        <v>0</v>
      </c>
      <c r="D37" s="522">
        <f>IF(EingabenÄnderungen!$K$18&gt;0,D35,D36)</f>
        <v>0</v>
      </c>
      <c r="E37" s="522">
        <f>IF(EingabenÄnderungen!$K$18&gt;0,E35,E36)</f>
        <v>0</v>
      </c>
      <c r="F37" s="522">
        <f>IF(EingabenÄnderungen!$K$18&gt;0,F35,F36)</f>
        <v>0</v>
      </c>
      <c r="G37" s="522">
        <f>IF(EingabenÄnderungen!$K$18&gt;0,G35,G36)</f>
        <v>0</v>
      </c>
      <c r="H37" s="522">
        <f>IF(EingabenÄnderungen!$K$18&gt;0,H35,H36)</f>
        <v>0</v>
      </c>
      <c r="I37" s="523">
        <f>IF(EingabenÄnderungen!$K$18&gt;0,I35,I36)</f>
        <v>0</v>
      </c>
      <c r="L37" s="818"/>
      <c r="M37" s="818"/>
      <c r="N37" s="818"/>
      <c r="O37" s="818"/>
      <c r="P37" s="818"/>
      <c r="Q37" s="818"/>
      <c r="R37" s="818"/>
      <c r="S37" s="818"/>
      <c r="T37" s="818"/>
      <c r="U37" s="818"/>
      <c r="V37" s="818"/>
      <c r="W37" s="818"/>
      <c r="X37" s="818"/>
      <c r="Y37" s="818"/>
      <c r="Z37" s="818"/>
      <c r="AA37" s="818"/>
      <c r="AB37" s="818"/>
      <c r="AC37" s="818"/>
      <c r="AD37" s="818"/>
      <c r="AE37" s="818"/>
      <c r="AF37" s="818"/>
      <c r="AG37" s="818"/>
      <c r="AH37" s="818"/>
      <c r="AI37" s="818"/>
      <c r="AJ37" s="818"/>
      <c r="AK37" s="818"/>
      <c r="AL37" s="818"/>
      <c r="AM37" s="818"/>
      <c r="AN37" s="818"/>
      <c r="AO37" s="818"/>
      <c r="AP37" s="818"/>
      <c r="AQ37" s="818"/>
      <c r="AR37" s="818"/>
      <c r="AS37" s="818"/>
      <c r="AT37" s="818"/>
      <c r="AU37" s="818"/>
      <c r="AV37" s="818"/>
      <c r="AW37" s="818"/>
      <c r="AX37" s="818"/>
      <c r="AY37" s="818"/>
      <c r="AZ37" s="818"/>
      <c r="BA37" s="818"/>
      <c r="BB37" s="818"/>
      <c r="BC37" s="818"/>
      <c r="BD37" s="818"/>
      <c r="BE37" s="818"/>
      <c r="BF37" s="818"/>
      <c r="BG37" s="818"/>
      <c r="BH37" s="818"/>
      <c r="BI37" s="818"/>
      <c r="BJ37" s="818"/>
      <c r="BK37" s="818"/>
      <c r="BL37" s="818"/>
    </row>
    <row r="38" spans="1:64" ht="16.5" hidden="1" customHeight="1">
      <c r="A38" s="1339"/>
      <c r="B38" s="522">
        <f t="shared" si="0"/>
        <v>0</v>
      </c>
      <c r="C38" s="522">
        <f>EingabenÄnderungen!C114</f>
        <v>0</v>
      </c>
      <c r="D38" s="522">
        <f>EingabenÄnderungen!D114</f>
        <v>0</v>
      </c>
      <c r="E38" s="522">
        <f>EingabenÄnderungen!E114</f>
        <v>0</v>
      </c>
      <c r="F38" s="522">
        <f>EingabenÄnderungen!F114</f>
        <v>0</v>
      </c>
      <c r="G38" s="522">
        <f>EingabenÄnderungen!G114</f>
        <v>0</v>
      </c>
      <c r="H38" s="522">
        <f>EingabenÄnderungen!H114</f>
        <v>0</v>
      </c>
      <c r="I38" s="523">
        <f>EingabenÄnderungen!I114</f>
        <v>0</v>
      </c>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818"/>
      <c r="AJ38" s="818"/>
      <c r="AK38" s="818"/>
      <c r="AL38" s="818"/>
      <c r="AM38" s="818"/>
      <c r="AN38" s="818"/>
      <c r="AO38" s="818"/>
      <c r="AP38" s="818"/>
      <c r="AQ38" s="818"/>
      <c r="AR38" s="818"/>
      <c r="AS38" s="818"/>
      <c r="AT38" s="818"/>
      <c r="AU38" s="818"/>
      <c r="AV38" s="818"/>
      <c r="AW38" s="818"/>
      <c r="AX38" s="818"/>
      <c r="AY38" s="818"/>
      <c r="AZ38" s="818"/>
      <c r="BA38" s="818"/>
      <c r="BB38" s="818"/>
      <c r="BC38" s="818"/>
      <c r="BD38" s="818"/>
      <c r="BE38" s="818"/>
      <c r="BF38" s="818"/>
      <c r="BG38" s="818"/>
      <c r="BH38" s="818"/>
      <c r="BI38" s="818"/>
      <c r="BJ38" s="818"/>
      <c r="BK38" s="818"/>
      <c r="BL38" s="818"/>
    </row>
    <row r="39" spans="1:64" ht="16.5" hidden="1" customHeight="1">
      <c r="A39" s="1339"/>
      <c r="B39" s="522">
        <f t="shared" si="0"/>
        <v>0</v>
      </c>
      <c r="C39" s="522">
        <f>C38</f>
        <v>0</v>
      </c>
      <c r="D39" s="522">
        <f>D38</f>
        <v>0</v>
      </c>
      <c r="E39" s="522">
        <f>IF(EingabenÄnderungen!E8&gt;EingabenÄnderungen!$E$2,E38*EingabenÄnderungen!E14/30,IF(EingabenÄnderungen!E18=25,E38*EingabenÄnderungen!E10/30,E38))</f>
        <v>0</v>
      </c>
      <c r="F39" s="522">
        <f>IF(EingabenÄnderungen!F8&gt;EingabenÄnderungen!$E$2,F38*EingabenÄnderungen!F14/30,IF(EingabenÄnderungen!F18=25,F38*EingabenÄnderungen!F10/30,F38))</f>
        <v>0</v>
      </c>
      <c r="G39" s="522">
        <f>IF(EingabenÄnderungen!G8&gt;EingabenÄnderungen!$E$2,G38*EingabenÄnderungen!G14/30,IF(EingabenÄnderungen!G18=25,G38*EingabenÄnderungen!G10/30,G38))</f>
        <v>0</v>
      </c>
      <c r="H39" s="522">
        <f>IF(EingabenÄnderungen!H8&gt;EingabenÄnderungen!$E$2,H38*EingabenÄnderungen!H14/30,IF(EingabenÄnderungen!H18=25,H38*EingabenÄnderungen!H10/30,H38))</f>
        <v>0</v>
      </c>
      <c r="I39" s="523">
        <f>IF(EingabenÄnderungen!I8&gt;EingabenÄnderungen!$E$2,I38*EingabenÄnderungen!I14/30,IF(EingabenÄnderungen!I18=25,I38*EingabenÄnderungen!I10/30,I38))</f>
        <v>0</v>
      </c>
      <c r="K39" s="1338">
        <f>COUNTIF(C39:I39,C39)</f>
        <v>7</v>
      </c>
      <c r="L39" s="818"/>
      <c r="M39" s="818"/>
      <c r="N39" s="818"/>
      <c r="O39" s="818"/>
      <c r="P39" s="818"/>
      <c r="Q39" s="818"/>
      <c r="R39" s="818"/>
      <c r="S39" s="818"/>
      <c r="T39" s="818"/>
      <c r="U39" s="818"/>
      <c r="V39" s="818"/>
      <c r="W39" s="818"/>
      <c r="X39" s="818"/>
      <c r="Y39" s="818"/>
      <c r="Z39" s="818"/>
      <c r="AA39" s="818"/>
      <c r="AB39" s="818"/>
      <c r="AC39" s="818"/>
      <c r="AD39" s="818"/>
      <c r="AE39" s="818"/>
      <c r="AF39" s="818"/>
      <c r="AG39" s="818"/>
      <c r="AH39" s="818"/>
      <c r="AI39" s="818"/>
      <c r="AJ39" s="818"/>
      <c r="AK39" s="818"/>
      <c r="AL39" s="818"/>
      <c r="AM39" s="818"/>
      <c r="AN39" s="818"/>
      <c r="AO39" s="818"/>
      <c r="AP39" s="818"/>
      <c r="AQ39" s="818"/>
      <c r="AR39" s="818"/>
      <c r="AS39" s="818"/>
      <c r="AT39" s="818"/>
      <c r="AU39" s="818"/>
      <c r="AV39" s="818"/>
      <c r="AW39" s="818"/>
      <c r="AX39" s="818"/>
      <c r="AY39" s="818"/>
      <c r="AZ39" s="818"/>
      <c r="BA39" s="818"/>
      <c r="BB39" s="818"/>
      <c r="BC39" s="818"/>
      <c r="BD39" s="818"/>
      <c r="BE39" s="818"/>
      <c r="BF39" s="818"/>
      <c r="BG39" s="818"/>
      <c r="BH39" s="818"/>
      <c r="BI39" s="818"/>
      <c r="BJ39" s="818"/>
      <c r="BK39" s="818"/>
      <c r="BL39" s="818"/>
    </row>
    <row r="40" spans="1:64" ht="16.5" hidden="1" customHeight="1">
      <c r="A40" s="1339"/>
      <c r="B40" s="522">
        <f t="shared" si="0"/>
        <v>0</v>
      </c>
      <c r="C40" s="522">
        <f>IF(AND(B39&lt;B38,C39=C38,C39&gt;0),C38+(B38-B39)/K39,C39)</f>
        <v>0</v>
      </c>
      <c r="D40" s="522">
        <f>IF(AND(B39&lt;B38,D39=D38,D39&gt;0),D38+(B38-B39)/K39,D39)</f>
        <v>0</v>
      </c>
      <c r="E40" s="522">
        <f>IF(AND(B39&lt;B38,E39=E38,E39&gt;0),E38+(B38-B39)/K39,E39)</f>
        <v>0</v>
      </c>
      <c r="F40" s="522">
        <f>IF(AND(B39&lt;B38,F39=F38,F39&gt;0),F38+(B38-B39)/K39,F39)</f>
        <v>0</v>
      </c>
      <c r="G40" s="522">
        <f>IF(AND(B39&lt;B38,G39=G38,G39&gt;0),G38+(B38-B39)/K39,G39)</f>
        <v>0</v>
      </c>
      <c r="H40" s="522">
        <f>IF(AND(B39&lt;B38,H39=H38,H39&gt;0),H38+(B38-B39)/K39,H39)</f>
        <v>0</v>
      </c>
      <c r="I40" s="523">
        <f>IF(AND(B39&lt;B38,I39=I38,I39&gt;0),I38+(B38-B39)/K39,I39)</f>
        <v>0</v>
      </c>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818"/>
      <c r="AM40" s="818"/>
      <c r="AN40" s="818"/>
      <c r="AO40" s="818"/>
      <c r="AP40" s="818"/>
      <c r="AQ40" s="818"/>
      <c r="AR40" s="818"/>
      <c r="AS40" s="818"/>
      <c r="AT40" s="818"/>
      <c r="AU40" s="818"/>
      <c r="AV40" s="818"/>
      <c r="AW40" s="818"/>
      <c r="AX40" s="818"/>
      <c r="AY40" s="818"/>
      <c r="AZ40" s="818"/>
      <c r="BA40" s="818"/>
      <c r="BB40" s="818"/>
      <c r="BC40" s="818"/>
      <c r="BD40" s="818"/>
      <c r="BE40" s="818"/>
      <c r="BF40" s="818"/>
      <c r="BG40" s="818"/>
      <c r="BH40" s="818"/>
      <c r="BI40" s="818"/>
      <c r="BJ40" s="818"/>
      <c r="BK40" s="818"/>
      <c r="BL40" s="818"/>
    </row>
    <row r="41" spans="1:64" ht="16.5" hidden="1" customHeight="1">
      <c r="A41" s="1341"/>
      <c r="B41" s="522">
        <f t="shared" si="0"/>
        <v>0</v>
      </c>
      <c r="C41" s="522">
        <f>IF(EingabenÄnderungen!$B$107&gt;0,C40,EingabenÄnderungen!C114)</f>
        <v>0</v>
      </c>
      <c r="D41" s="522">
        <f>IF(EingabenÄnderungen!$B$107&gt;0,D40,EingabenÄnderungen!D114)</f>
        <v>0</v>
      </c>
      <c r="E41" s="522">
        <f>IF(EingabenÄnderungen!$B$107&gt;0,E40,EingabenÄnderungen!E114)</f>
        <v>0</v>
      </c>
      <c r="F41" s="522">
        <f>IF(EingabenÄnderungen!$B$107&gt;0,F40,EingabenÄnderungen!F114)</f>
        <v>0</v>
      </c>
      <c r="G41" s="522">
        <f>IF(EingabenÄnderungen!$B$107&gt;0,G40,EingabenÄnderungen!G114)</f>
        <v>0</v>
      </c>
      <c r="H41" s="522">
        <f>IF(EingabenÄnderungen!$B$107&gt;0,H40,EingabenÄnderungen!H114)</f>
        <v>0</v>
      </c>
      <c r="I41" s="523">
        <f>IF(EingabenÄnderungen!$B$107&gt;0,I40,EingabenÄnderungen!I114)</f>
        <v>0</v>
      </c>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818"/>
      <c r="AJ41" s="818"/>
      <c r="AK41" s="818"/>
      <c r="AL41" s="818"/>
      <c r="AM41" s="818"/>
      <c r="AN41" s="818"/>
      <c r="AO41" s="818"/>
      <c r="AP41" s="818"/>
      <c r="AQ41" s="818"/>
      <c r="AR41" s="818"/>
      <c r="AS41" s="818"/>
      <c r="AT41" s="818"/>
      <c r="AU41" s="818"/>
      <c r="AV41" s="818"/>
      <c r="AW41" s="818"/>
      <c r="AX41" s="818"/>
      <c r="AY41" s="818"/>
      <c r="AZ41" s="818"/>
      <c r="BA41" s="818"/>
      <c r="BB41" s="818"/>
      <c r="BC41" s="818"/>
      <c r="BD41" s="818"/>
      <c r="BE41" s="818"/>
      <c r="BF41" s="818"/>
      <c r="BG41" s="818"/>
      <c r="BH41" s="818"/>
      <c r="BI41" s="818"/>
      <c r="BJ41" s="818"/>
      <c r="BK41" s="818"/>
      <c r="BL41" s="818"/>
    </row>
    <row r="42" spans="1:64">
      <c r="A42" s="1339">
        <f>IF(B42&gt;0,"./. Kostenanteil für Haushaltsstrom",0)</f>
        <v>0</v>
      </c>
      <c r="B42" s="1335">
        <f t="shared" si="0"/>
        <v>0</v>
      </c>
      <c r="C42" s="522">
        <f>IF(AND(EingabenÄnderungen!$K$18&gt;0,EingabenÄnderungen!$B$107&gt;0),C39,C41)</f>
        <v>0</v>
      </c>
      <c r="D42" s="522">
        <f>IF(AND(EingabenÄnderungen!$K$18&gt;0,EingabenÄnderungen!$B$107&gt;0),D39,D41)</f>
        <v>0</v>
      </c>
      <c r="E42" s="522">
        <f>IF(AND(EingabenÄnderungen!$K$18&gt;0,EingabenÄnderungen!$B$107&gt;0),E39,E41)</f>
        <v>0</v>
      </c>
      <c r="F42" s="522">
        <f>IF(AND(EingabenÄnderungen!$K$18&gt;0,EingabenÄnderungen!$B$107&gt;0),F39,F41)</f>
        <v>0</v>
      </c>
      <c r="G42" s="522">
        <f>IF(AND(EingabenÄnderungen!$K$18&gt;0,EingabenÄnderungen!$B$107&gt;0),G39,G41)</f>
        <v>0</v>
      </c>
      <c r="H42" s="522">
        <f>IF(AND(EingabenÄnderungen!$K$18&gt;0,EingabenÄnderungen!$B$107&gt;0),H39,H41)</f>
        <v>0</v>
      </c>
      <c r="I42" s="523">
        <f>IF(AND(EingabenÄnderungen!$K$18&gt;0,EingabenÄnderungen!$B$107&gt;0),I39,I41)</f>
        <v>0</v>
      </c>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818"/>
      <c r="AM42" s="818"/>
      <c r="AN42" s="818"/>
      <c r="AO42" s="818"/>
      <c r="AP42" s="818"/>
      <c r="AQ42" s="818"/>
      <c r="AR42" s="818"/>
      <c r="AS42" s="818"/>
      <c r="AT42" s="818"/>
      <c r="AU42" s="818"/>
      <c r="AV42" s="818"/>
      <c r="AW42" s="818"/>
      <c r="AX42" s="818"/>
      <c r="AY42" s="818"/>
      <c r="AZ42" s="818"/>
      <c r="BA42" s="818"/>
      <c r="BB42" s="818"/>
      <c r="BC42" s="818"/>
      <c r="BD42" s="818"/>
      <c r="BE42" s="818"/>
      <c r="BF42" s="818"/>
      <c r="BG42" s="818"/>
      <c r="BH42" s="818"/>
      <c r="BI42" s="818"/>
      <c r="BJ42" s="818"/>
      <c r="BK42" s="818"/>
      <c r="BL42" s="818"/>
    </row>
    <row r="43" spans="1:64" ht="16.5" hidden="1" customHeight="1">
      <c r="A43" s="1341"/>
      <c r="B43" s="522">
        <f>EingabenÄnderungen!C115</f>
        <v>0</v>
      </c>
      <c r="C43" s="522">
        <f>B43/B7</f>
        <v>0</v>
      </c>
      <c r="D43" s="522">
        <f>IF(D9=0,0,B43/B7)</f>
        <v>0</v>
      </c>
      <c r="E43" s="522">
        <f>IF(EingabenÄnderungen!E33=0,0,B43/B7)</f>
        <v>0</v>
      </c>
      <c r="F43" s="522">
        <f>IF(EingabenÄnderungen!F33=0,0,B43/B7)</f>
        <v>0</v>
      </c>
      <c r="G43" s="522">
        <f>IF(EingabenÄnderungen!G33=0,0,B43/B7)</f>
        <v>0</v>
      </c>
      <c r="H43" s="522">
        <f>IF(EingabenÄnderungen!H33=0,0,B43/B7)</f>
        <v>0</v>
      </c>
      <c r="I43" s="523">
        <f>IF(EingabenÄnderungen!I33=0,0,B43/B7)</f>
        <v>0</v>
      </c>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8"/>
      <c r="AY43" s="818"/>
      <c r="AZ43" s="818"/>
      <c r="BA43" s="818"/>
      <c r="BB43" s="818"/>
      <c r="BC43" s="818"/>
      <c r="BD43" s="818"/>
      <c r="BE43" s="818"/>
      <c r="BF43" s="818"/>
      <c r="BG43" s="818"/>
      <c r="BH43" s="818"/>
      <c r="BI43" s="818"/>
      <c r="BJ43" s="818"/>
      <c r="BK43" s="818"/>
      <c r="BL43" s="818"/>
    </row>
    <row r="44" spans="1:64" ht="16.5" hidden="1" customHeight="1">
      <c r="A44" s="1339"/>
      <c r="B44" s="522">
        <f>SUM(C44:I44)</f>
        <v>0</v>
      </c>
      <c r="C44" s="522">
        <f>C43</f>
        <v>0</v>
      </c>
      <c r="D44" s="522">
        <f>D43</f>
        <v>0</v>
      </c>
      <c r="E44" s="522">
        <f>IF(EingabenÄnderungen!E8&gt;EingabenÄnderungen!E2,E43*EingabenÄnderungen!E14/30,IF(EingabenÄnderungen!E18=25,E43*EingabenÄnderungen!E10/30,E43))</f>
        <v>0</v>
      </c>
      <c r="F44" s="522">
        <f>IF(EingabenÄnderungen!F8&gt;EingabenÄnderungen!E2,F43*EingabenÄnderungen!F14/30,IF(EingabenÄnderungen!F18=25,F43*EingabenÄnderungen!F10/30,F43))</f>
        <v>0</v>
      </c>
      <c r="G44" s="522">
        <f>IF(EingabenÄnderungen!G8&gt;EingabenÄnderungen!E2,G43*EingabenÄnderungen!G14/30,IF(EingabenÄnderungen!G18=25,G43*EingabenÄnderungen!G10/30,G43))</f>
        <v>0</v>
      </c>
      <c r="H44" s="522">
        <f>IF(EingabenÄnderungen!H8&gt;EingabenÄnderungen!E2,H43*EingabenÄnderungen!H14/30,IF(EingabenÄnderungen!H18=25,H43*EingabenÄnderungen!H10/30,H43))</f>
        <v>0</v>
      </c>
      <c r="I44" s="523">
        <f>IF(EingabenÄnderungen!I8&gt;EingabenÄnderungen!E2,I43*EingabenÄnderungen!I14/30,IF(EingabenÄnderungen!I18=25,I43*EingabenÄnderungen!I10/30,I43))</f>
        <v>0</v>
      </c>
      <c r="K44" s="1338">
        <f>COUNTIF(C44:I44,C44)</f>
        <v>7</v>
      </c>
      <c r="L44" s="818"/>
      <c r="M44" s="818"/>
      <c r="N44" s="818"/>
      <c r="O44" s="818"/>
      <c r="P44" s="818"/>
      <c r="Q44" s="818"/>
      <c r="R44" s="818"/>
      <c r="S44" s="818"/>
      <c r="T44" s="818"/>
      <c r="U44" s="818"/>
      <c r="V44" s="818"/>
      <c r="W44" s="818"/>
      <c r="X44" s="818"/>
      <c r="Y44" s="818"/>
      <c r="Z44" s="818"/>
      <c r="AA44" s="818"/>
      <c r="AB44" s="818"/>
      <c r="AC44" s="818"/>
      <c r="AD44" s="818"/>
      <c r="AE44" s="818"/>
      <c r="AF44" s="818"/>
      <c r="AG44" s="818"/>
      <c r="AH44" s="818"/>
      <c r="AI44" s="818"/>
      <c r="AJ44" s="818"/>
      <c r="AK44" s="818"/>
      <c r="AL44" s="818"/>
      <c r="AM44" s="818"/>
      <c r="AN44" s="818"/>
      <c r="AO44" s="818"/>
      <c r="AP44" s="818"/>
      <c r="AQ44" s="818"/>
      <c r="AR44" s="818"/>
      <c r="AS44" s="818"/>
      <c r="AT44" s="818"/>
      <c r="AU44" s="818"/>
      <c r="AV44" s="818"/>
      <c r="AW44" s="818"/>
      <c r="AX44" s="818"/>
      <c r="AY44" s="818"/>
      <c r="AZ44" s="818"/>
      <c r="BA44" s="818"/>
      <c r="BB44" s="818"/>
      <c r="BC44" s="818"/>
      <c r="BD44" s="818"/>
      <c r="BE44" s="818"/>
      <c r="BF44" s="818"/>
      <c r="BG44" s="818"/>
      <c r="BH44" s="818"/>
      <c r="BI44" s="818"/>
      <c r="BJ44" s="818"/>
      <c r="BK44" s="818"/>
      <c r="BL44" s="818"/>
    </row>
    <row r="45" spans="1:64" ht="16.5" hidden="1" customHeight="1">
      <c r="A45" s="1341"/>
      <c r="B45" s="522">
        <f>SUM(C45:I45)</f>
        <v>0</v>
      </c>
      <c r="C45" s="522">
        <f>IF(AND(B44&lt;B43,C44=C43,C44&gt;0),C43+(B43-B44)/K44,C44)</f>
        <v>0</v>
      </c>
      <c r="D45" s="522">
        <f>IF(AND(B44&lt;B43,D44=D43,D44&gt;0),D43+(B43-B44)/K44,D44)</f>
        <v>0</v>
      </c>
      <c r="E45" s="522">
        <f>IF(AND(B44&lt;B43,E44=E43,E44&gt;0),E43+(B43-B44)/K44,E44)</f>
        <v>0</v>
      </c>
      <c r="F45" s="522">
        <f>IF(AND(B44&lt;B43,F44=F43,F44&gt;0),F43+(B43-B44)/K44,F44)</f>
        <v>0</v>
      </c>
      <c r="G45" s="522">
        <f>IF(AND(B44&lt;B43,G44=G43,G44&gt;0),G43+(B43-B44)/K44,G44)</f>
        <v>0</v>
      </c>
      <c r="H45" s="522">
        <f>IF(AND(B44&lt;B43,H44=H43,H44&gt;0),H43+(B43-B44)/K44,H44)</f>
        <v>0</v>
      </c>
      <c r="I45" s="523">
        <f>IF(AND(B44&lt;B43,I44=I43,I44&gt;0),I43+(B43-B44)/K44,I44)</f>
        <v>0</v>
      </c>
      <c r="L45" s="818"/>
      <c r="M45" s="818"/>
      <c r="N45" s="818"/>
      <c r="O45" s="818"/>
      <c r="P45" s="818"/>
      <c r="Q45" s="818"/>
      <c r="R45" s="818"/>
      <c r="S45" s="818"/>
      <c r="T45" s="818"/>
      <c r="U45" s="818"/>
      <c r="V45" s="818"/>
      <c r="W45" s="818"/>
      <c r="X45" s="818"/>
      <c r="Y45" s="818"/>
      <c r="Z45" s="818"/>
      <c r="AA45" s="818"/>
      <c r="AB45" s="818"/>
      <c r="AC45" s="818"/>
      <c r="AD45" s="818"/>
      <c r="AE45" s="818"/>
      <c r="AF45" s="818"/>
      <c r="AG45" s="818"/>
      <c r="AH45" s="818"/>
      <c r="AI45" s="818"/>
      <c r="AJ45" s="818"/>
      <c r="AK45" s="818"/>
      <c r="AL45" s="818"/>
      <c r="AM45" s="818"/>
      <c r="AN45" s="818"/>
      <c r="AO45" s="818"/>
      <c r="AP45" s="818"/>
      <c r="AQ45" s="818"/>
      <c r="AR45" s="818"/>
      <c r="AS45" s="818"/>
      <c r="AT45" s="818"/>
      <c r="AU45" s="818"/>
      <c r="AV45" s="818"/>
      <c r="AW45" s="818"/>
      <c r="AX45" s="818"/>
      <c r="AY45" s="818"/>
      <c r="AZ45" s="818"/>
      <c r="BA45" s="818"/>
      <c r="BB45" s="818"/>
      <c r="BC45" s="818"/>
      <c r="BD45" s="818"/>
      <c r="BE45" s="818"/>
      <c r="BF45" s="818"/>
      <c r="BG45" s="818"/>
      <c r="BH45" s="818"/>
      <c r="BI45" s="818"/>
      <c r="BJ45" s="818"/>
      <c r="BK45" s="818"/>
      <c r="BL45" s="818"/>
    </row>
    <row r="46" spans="1:64">
      <c r="A46" s="1339">
        <f>IF(B46&gt;0,"Heizkosten",0)</f>
        <v>0</v>
      </c>
      <c r="B46" s="1335">
        <f>SUM(C46:I46)</f>
        <v>0</v>
      </c>
      <c r="C46" s="522">
        <f>IF(EingabenÄnderungen!$K$18&gt;0,C44,C45)</f>
        <v>0</v>
      </c>
      <c r="D46" s="522">
        <f>IF(EingabenÄnderungen!$K$18&gt;0,D44,D45)</f>
        <v>0</v>
      </c>
      <c r="E46" s="522">
        <f>IF(EingabenÄnderungen!$K$18&gt;0,E44,E45)</f>
        <v>0</v>
      </c>
      <c r="F46" s="522">
        <f>IF(EingabenÄnderungen!$K$18&gt;0,F44,F45)</f>
        <v>0</v>
      </c>
      <c r="G46" s="522">
        <f>IF(EingabenÄnderungen!$K$18&gt;0,G44,G45)</f>
        <v>0</v>
      </c>
      <c r="H46" s="522">
        <f>IF(EingabenÄnderungen!$K$18&gt;0,H44,H45)</f>
        <v>0</v>
      </c>
      <c r="I46" s="523">
        <f>IF(EingabenÄnderungen!$K$18&gt;0,I44,I45)</f>
        <v>0</v>
      </c>
      <c r="L46" s="818"/>
      <c r="M46" s="818"/>
      <c r="N46" s="818"/>
      <c r="O46" s="818"/>
      <c r="P46" s="818"/>
      <c r="Q46" s="818"/>
      <c r="R46" s="818"/>
      <c r="S46" s="818"/>
      <c r="T46" s="818"/>
      <c r="U46" s="818"/>
      <c r="V46" s="818"/>
      <c r="W46" s="818"/>
      <c r="X46" s="818"/>
      <c r="Y46" s="818"/>
      <c r="Z46" s="818"/>
      <c r="AA46" s="818"/>
      <c r="AB46" s="818"/>
      <c r="AC46" s="818"/>
      <c r="AD46" s="818"/>
      <c r="AE46" s="818"/>
      <c r="AF46" s="818"/>
      <c r="AG46" s="818"/>
      <c r="AH46" s="818"/>
      <c r="AI46" s="818"/>
      <c r="AJ46" s="818"/>
      <c r="AK46" s="818"/>
      <c r="AL46" s="818"/>
      <c r="AM46" s="818"/>
      <c r="AN46" s="818"/>
      <c r="AO46" s="818"/>
      <c r="AP46" s="818"/>
      <c r="AQ46" s="818"/>
      <c r="AR46" s="818"/>
      <c r="AS46" s="818"/>
      <c r="AT46" s="818"/>
      <c r="AU46" s="818"/>
      <c r="AV46" s="818"/>
      <c r="AW46" s="818"/>
      <c r="AX46" s="818"/>
      <c r="AY46" s="818"/>
      <c r="AZ46" s="818"/>
      <c r="BA46" s="818"/>
      <c r="BB46" s="818"/>
      <c r="BC46" s="818"/>
      <c r="BD46" s="818"/>
      <c r="BE46" s="818"/>
      <c r="BF46" s="818"/>
      <c r="BG46" s="818"/>
      <c r="BH46" s="818"/>
      <c r="BI46" s="818"/>
      <c r="BJ46" s="818"/>
      <c r="BK46" s="818"/>
      <c r="BL46" s="818"/>
    </row>
    <row r="47" spans="1:64" ht="16.5" hidden="1" customHeight="1">
      <c r="A47" s="1342" t="s">
        <v>2165</v>
      </c>
      <c r="B47" s="1343">
        <f t="shared" ref="B47:I47" si="1">B24-B29+B33+B37-B42+B46</f>
        <v>0</v>
      </c>
      <c r="C47" s="1343">
        <f t="shared" si="1"/>
        <v>0</v>
      </c>
      <c r="D47" s="1343">
        <f t="shared" si="1"/>
        <v>0</v>
      </c>
      <c r="E47" s="1343">
        <f t="shared" si="1"/>
        <v>0</v>
      </c>
      <c r="F47" s="1343">
        <f t="shared" si="1"/>
        <v>0</v>
      </c>
      <c r="G47" s="1343">
        <f t="shared" si="1"/>
        <v>0</v>
      </c>
      <c r="H47" s="1343">
        <f t="shared" si="1"/>
        <v>0</v>
      </c>
      <c r="I47" s="1344">
        <f t="shared" si="1"/>
        <v>0</v>
      </c>
      <c r="L47" s="818"/>
      <c r="M47" s="818"/>
      <c r="N47" s="818"/>
      <c r="O47" s="818"/>
      <c r="P47" s="818"/>
      <c r="Q47" s="818"/>
      <c r="R47" s="818"/>
      <c r="S47" s="818"/>
      <c r="T47" s="818"/>
      <c r="U47" s="818"/>
      <c r="V47" s="818"/>
      <c r="W47" s="818"/>
      <c r="X47" s="818"/>
      <c r="Y47" s="818"/>
      <c r="Z47" s="818"/>
      <c r="AA47" s="818"/>
      <c r="AB47" s="818"/>
      <c r="AC47" s="818"/>
      <c r="AD47" s="818"/>
      <c r="AE47" s="818"/>
      <c r="AF47" s="818"/>
      <c r="AG47" s="818"/>
      <c r="AH47" s="818"/>
      <c r="AI47" s="818"/>
      <c r="AJ47" s="818"/>
      <c r="AK47" s="818"/>
      <c r="AL47" s="818"/>
      <c r="AM47" s="818"/>
      <c r="AN47" s="818"/>
      <c r="AO47" s="818"/>
      <c r="AP47" s="818"/>
      <c r="AQ47" s="818"/>
      <c r="AR47" s="818"/>
      <c r="AS47" s="818"/>
      <c r="AT47" s="818"/>
      <c r="AU47" s="818"/>
      <c r="AV47" s="818"/>
      <c r="AW47" s="818"/>
      <c r="AX47" s="818"/>
      <c r="AY47" s="818"/>
      <c r="AZ47" s="818"/>
      <c r="BA47" s="818"/>
      <c r="BB47" s="818"/>
      <c r="BC47" s="818"/>
      <c r="BD47" s="818"/>
      <c r="BE47" s="818"/>
      <c r="BF47" s="818"/>
      <c r="BG47" s="818"/>
      <c r="BH47" s="818"/>
      <c r="BI47" s="818"/>
      <c r="BJ47" s="818"/>
      <c r="BK47" s="818"/>
      <c r="BL47" s="818"/>
    </row>
    <row r="48" spans="1:64" ht="16.5" customHeight="1">
      <c r="A48" s="1345">
        <f>IF(B49&gt;0,"Sonstiger Bedarf",0)</f>
        <v>0</v>
      </c>
      <c r="B48" s="1346"/>
      <c r="C48" s="1765">
        <f t="shared" ref="C48:I48" si="2">C24-C29+C33+C37-C42</f>
        <v>0</v>
      </c>
      <c r="D48" s="1765">
        <f t="shared" si="2"/>
        <v>0</v>
      </c>
      <c r="E48" s="1765">
        <f t="shared" si="2"/>
        <v>0</v>
      </c>
      <c r="F48" s="1765">
        <f t="shared" si="2"/>
        <v>0</v>
      </c>
      <c r="G48" s="1765">
        <f t="shared" si="2"/>
        <v>0</v>
      </c>
      <c r="H48" s="1765">
        <f t="shared" si="2"/>
        <v>0</v>
      </c>
      <c r="I48" s="1766">
        <f t="shared" si="2"/>
        <v>0</v>
      </c>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8"/>
      <c r="AI48" s="818"/>
      <c r="AJ48" s="818"/>
      <c r="AK48" s="818"/>
      <c r="AL48" s="818"/>
      <c r="AM48" s="818"/>
      <c r="AN48" s="818"/>
      <c r="AO48" s="818"/>
      <c r="AP48" s="818"/>
      <c r="AQ48" s="818"/>
      <c r="AR48" s="818"/>
      <c r="AS48" s="818"/>
      <c r="AT48" s="818"/>
      <c r="AU48" s="818"/>
      <c r="AV48" s="818"/>
      <c r="AW48" s="818"/>
      <c r="AX48" s="818"/>
      <c r="AY48" s="818"/>
      <c r="AZ48" s="818"/>
      <c r="BA48" s="818"/>
      <c r="BB48" s="818"/>
      <c r="BC48" s="818"/>
      <c r="BD48" s="818"/>
      <c r="BE48" s="818"/>
      <c r="BF48" s="818"/>
      <c r="BG48" s="818"/>
      <c r="BH48" s="818"/>
      <c r="BI48" s="818"/>
      <c r="BJ48" s="818"/>
      <c r="BK48" s="818"/>
      <c r="BL48" s="818"/>
    </row>
    <row r="49" spans="1:64" ht="18" customHeight="1">
      <c r="A49" s="1349">
        <f>IF(B49&gt;0,EingabenÄnderungen!A117,0)</f>
        <v>0</v>
      </c>
      <c r="B49" s="1767">
        <f>SUM(C49:I49)</f>
        <v>0</v>
      </c>
      <c r="C49" s="1351">
        <f>EingabenÄnderungen!C117</f>
        <v>0</v>
      </c>
      <c r="D49" s="1351">
        <f>EingabenÄnderungen!D117</f>
        <v>0</v>
      </c>
      <c r="E49" s="1351">
        <f>EingabenÄnderungen!E117</f>
        <v>0</v>
      </c>
      <c r="F49" s="1351">
        <f>EingabenÄnderungen!F117</f>
        <v>0</v>
      </c>
      <c r="G49" s="1351">
        <f>EingabenÄnderungen!G117</f>
        <v>0</v>
      </c>
      <c r="H49" s="1351">
        <f>EingabenÄnderungen!H117</f>
        <v>0</v>
      </c>
      <c r="I49" s="1352">
        <f>EingabenÄnderungen!I117</f>
        <v>0</v>
      </c>
      <c r="L49" s="818"/>
      <c r="M49" s="818"/>
      <c r="N49" s="818"/>
      <c r="O49" s="818"/>
      <c r="P49" s="818"/>
      <c r="Q49" s="818"/>
      <c r="R49" s="818"/>
      <c r="S49" s="818"/>
      <c r="T49" s="818"/>
      <c r="U49" s="818"/>
      <c r="V49" s="818"/>
      <c r="W49" s="818"/>
      <c r="X49" s="818"/>
      <c r="Y49" s="818"/>
      <c r="Z49" s="818"/>
      <c r="AA49" s="818"/>
      <c r="AB49" s="818"/>
      <c r="AC49" s="818"/>
      <c r="AD49" s="818"/>
      <c r="AE49" s="818"/>
      <c r="AF49" s="818"/>
      <c r="AG49" s="818"/>
      <c r="AH49" s="818"/>
      <c r="AI49" s="818"/>
      <c r="AJ49" s="818"/>
      <c r="AK49" s="818"/>
      <c r="AL49" s="818"/>
      <c r="AM49" s="818"/>
      <c r="AN49" s="818"/>
      <c r="AO49" s="818"/>
      <c r="AP49" s="818"/>
      <c r="AQ49" s="818"/>
      <c r="AR49" s="818"/>
      <c r="AS49" s="818"/>
      <c r="AT49" s="818"/>
      <c r="AU49" s="818"/>
      <c r="AV49" s="818"/>
      <c r="AW49" s="818"/>
      <c r="AX49" s="818"/>
      <c r="AY49" s="818"/>
      <c r="AZ49" s="818"/>
      <c r="BA49" s="818"/>
      <c r="BB49" s="818"/>
      <c r="BC49" s="818"/>
      <c r="BD49" s="818"/>
      <c r="BE49" s="818"/>
      <c r="BF49" s="818"/>
      <c r="BG49" s="818"/>
      <c r="BH49" s="818"/>
      <c r="BI49" s="818"/>
      <c r="BJ49" s="818"/>
      <c r="BK49" s="818"/>
      <c r="BL49" s="818"/>
    </row>
    <row r="50" spans="1:64" ht="23.25" customHeight="1">
      <c r="A50" s="1353" t="s">
        <v>2166</v>
      </c>
      <c r="B50" s="1354">
        <f>SUM(C50:I50)</f>
        <v>409</v>
      </c>
      <c r="C50" s="1354">
        <f t="shared" ref="C50:I50" si="3">C11+C13+C14+C15+C16+C17+C18+C19+C47+C49</f>
        <v>409</v>
      </c>
      <c r="D50" s="1354">
        <f t="shared" si="3"/>
        <v>0</v>
      </c>
      <c r="E50" s="1354">
        <f t="shared" si="3"/>
        <v>0</v>
      </c>
      <c r="F50" s="1354">
        <f t="shared" si="3"/>
        <v>0</v>
      </c>
      <c r="G50" s="1354">
        <f t="shared" si="3"/>
        <v>0</v>
      </c>
      <c r="H50" s="1354">
        <f t="shared" si="3"/>
        <v>0</v>
      </c>
      <c r="I50" s="1355">
        <f t="shared" si="3"/>
        <v>0</v>
      </c>
      <c r="L50" s="818"/>
      <c r="M50" s="818"/>
      <c r="N50" s="818"/>
      <c r="O50" s="818"/>
      <c r="P50" s="818"/>
      <c r="Q50" s="818"/>
      <c r="R50" s="818"/>
      <c r="S50" s="818"/>
      <c r="T50" s="818"/>
      <c r="U50" s="818"/>
      <c r="V50" s="818"/>
      <c r="W50" s="818"/>
      <c r="X50" s="818"/>
      <c r="Y50" s="818"/>
      <c r="Z50" s="818"/>
      <c r="AA50" s="818"/>
      <c r="AB50" s="818"/>
      <c r="AC50" s="818"/>
      <c r="AD50" s="818"/>
      <c r="AE50" s="818"/>
      <c r="AF50" s="818"/>
      <c r="AG50" s="818"/>
      <c r="AH50" s="818"/>
      <c r="AI50" s="818"/>
      <c r="AJ50" s="818"/>
      <c r="AK50" s="818"/>
      <c r="AL50" s="818"/>
      <c r="AM50" s="818"/>
      <c r="AN50" s="818"/>
      <c r="AO50" s="818"/>
      <c r="AP50" s="818"/>
      <c r="AQ50" s="818"/>
      <c r="AR50" s="818"/>
      <c r="AS50" s="818"/>
      <c r="AT50" s="818"/>
      <c r="AU50" s="818"/>
      <c r="AV50" s="818"/>
      <c r="AW50" s="818"/>
      <c r="AX50" s="818"/>
      <c r="AY50" s="818"/>
      <c r="AZ50" s="818"/>
      <c r="BA50" s="818"/>
      <c r="BB50" s="818"/>
      <c r="BC50" s="818"/>
      <c r="BD50" s="818"/>
      <c r="BE50" s="818"/>
      <c r="BF50" s="818"/>
      <c r="BG50" s="818"/>
      <c r="BH50" s="818"/>
      <c r="BI50" s="818"/>
      <c r="BJ50" s="818"/>
      <c r="BK50" s="818"/>
      <c r="BL50" s="818"/>
    </row>
    <row r="51" spans="1:64" ht="11.25" customHeight="1">
      <c r="C51" s="966">
        <f>VLOOKUP(E3,Bedarfssätze!B7:C14,2)</f>
        <v>391</v>
      </c>
      <c r="D51" s="966">
        <f>VLOOKUP(E3,Bedarfssätze!E7:F14,2)</f>
        <v>353</v>
      </c>
      <c r="E51" s="966">
        <f>VLOOKUP(E3,Bedarfssätze!B26:C33,2)</f>
        <v>296</v>
      </c>
      <c r="F51" s="966">
        <f>VLOOKUP(E3,Bedarfssätze!E26:F33,2)</f>
        <v>261</v>
      </c>
      <c r="G51" s="966">
        <f>VLOOKUP(E3,Bedarfssätze!H26:I33,2)</f>
        <v>229</v>
      </c>
      <c r="H51" s="966">
        <f>VLOOKUP(E3,Bedarfssätze!H7:I14,2)</f>
        <v>313</v>
      </c>
      <c r="L51" s="818"/>
      <c r="M51" s="818"/>
      <c r="N51" s="818"/>
      <c r="O51" s="818"/>
      <c r="P51" s="818"/>
      <c r="Q51" s="818"/>
      <c r="R51" s="818"/>
      <c r="S51" s="818"/>
      <c r="T51" s="818"/>
      <c r="U51" s="818"/>
      <c r="V51" s="818"/>
      <c r="W51" s="818"/>
      <c r="X51" s="818"/>
      <c r="Y51" s="818"/>
      <c r="Z51" s="818"/>
      <c r="AA51" s="818"/>
      <c r="AB51" s="818"/>
      <c r="AC51" s="818"/>
      <c r="AD51" s="818"/>
      <c r="AE51" s="818"/>
      <c r="AF51" s="818"/>
      <c r="AG51" s="818"/>
      <c r="AH51" s="818"/>
      <c r="AI51" s="818"/>
      <c r="AJ51" s="818"/>
      <c r="AK51" s="818"/>
      <c r="AL51" s="818"/>
      <c r="AM51" s="818"/>
      <c r="AN51" s="818"/>
      <c r="AO51" s="818"/>
      <c r="AP51" s="818"/>
      <c r="AQ51" s="818"/>
      <c r="AR51" s="818"/>
      <c r="AS51" s="818"/>
      <c r="AT51" s="818"/>
      <c r="AU51" s="818"/>
      <c r="AV51" s="818"/>
      <c r="AW51" s="818"/>
      <c r="AX51" s="818"/>
      <c r="AY51" s="818"/>
      <c r="AZ51" s="818"/>
      <c r="BA51" s="818"/>
      <c r="BB51" s="818"/>
      <c r="BC51" s="818"/>
      <c r="BD51" s="818"/>
      <c r="BE51" s="818"/>
      <c r="BF51" s="818"/>
      <c r="BG51" s="818"/>
      <c r="BH51" s="818"/>
      <c r="BI51" s="818"/>
      <c r="BJ51" s="818"/>
      <c r="BK51" s="818"/>
      <c r="BL51" s="818"/>
    </row>
    <row r="52" spans="1:64" ht="23.25">
      <c r="A52" s="1319"/>
      <c r="B52" s="1320" t="s">
        <v>2343</v>
      </c>
      <c r="C52" s="1316"/>
      <c r="D52" s="1316"/>
      <c r="E52" s="1316"/>
      <c r="F52" s="1316"/>
      <c r="G52" s="1316"/>
      <c r="H52" s="1316"/>
      <c r="I52" s="1321"/>
      <c r="L52" s="818"/>
      <c r="M52" s="818"/>
      <c r="N52" s="818"/>
      <c r="O52" s="818"/>
      <c r="P52" s="818"/>
      <c r="Q52" s="818"/>
      <c r="R52" s="818"/>
      <c r="S52" s="818"/>
      <c r="T52" s="818"/>
      <c r="U52" s="818"/>
      <c r="V52" s="818"/>
      <c r="W52" s="818"/>
      <c r="X52" s="818"/>
      <c r="Y52" s="818"/>
      <c r="Z52" s="818"/>
      <c r="AA52" s="818"/>
      <c r="AB52" s="818"/>
      <c r="AC52" s="818"/>
      <c r="AD52" s="818"/>
      <c r="AE52" s="818"/>
      <c r="AF52" s="818"/>
      <c r="AG52" s="818"/>
      <c r="AH52" s="818"/>
      <c r="AI52" s="818"/>
      <c r="AJ52" s="818"/>
      <c r="AK52" s="818"/>
      <c r="AL52" s="818"/>
      <c r="AM52" s="818"/>
      <c r="AN52" s="818"/>
      <c r="AO52" s="818"/>
      <c r="AP52" s="818"/>
      <c r="AQ52" s="818"/>
      <c r="AR52" s="818"/>
      <c r="AS52" s="818"/>
      <c r="AT52" s="818"/>
      <c r="AU52" s="818"/>
      <c r="AV52" s="818"/>
      <c r="AW52" s="818"/>
      <c r="AX52" s="818"/>
      <c r="AY52" s="818"/>
      <c r="AZ52" s="818"/>
      <c r="BA52" s="818"/>
      <c r="BB52" s="818"/>
      <c r="BC52" s="818"/>
      <c r="BD52" s="818"/>
      <c r="BE52" s="818"/>
      <c r="BF52" s="818"/>
      <c r="BG52" s="818"/>
      <c r="BH52" s="818"/>
      <c r="BI52" s="818"/>
      <c r="BJ52" s="818"/>
      <c r="BK52" s="818"/>
      <c r="BL52" s="818"/>
    </row>
    <row r="53" spans="1:64" ht="17.25" customHeight="1">
      <c r="A53" s="839"/>
      <c r="B53" s="1322" t="s">
        <v>246</v>
      </c>
      <c r="C53" s="1764" t="str">
        <f>EingabenÄnderungen!C4</f>
        <v>Antragsteller</v>
      </c>
      <c r="D53" s="1764" t="str">
        <f>EingabenÄnderungen!D4</f>
        <v>Partner(in)</v>
      </c>
      <c r="E53" s="1764" t="str">
        <f>EingabenÄnderungen!E4</f>
        <v>Kind 1</v>
      </c>
      <c r="F53" s="1322" t="s">
        <v>145</v>
      </c>
      <c r="G53" s="1322" t="s">
        <v>146</v>
      </c>
      <c r="H53" s="1322" t="s">
        <v>147</v>
      </c>
      <c r="I53" s="1323" t="s">
        <v>148</v>
      </c>
      <c r="L53" s="818"/>
      <c r="M53" s="818"/>
      <c r="N53" s="818"/>
      <c r="O53" s="818"/>
      <c r="P53" s="818"/>
      <c r="Q53" s="818"/>
      <c r="R53" s="818"/>
      <c r="S53" s="818"/>
      <c r="T53" s="818"/>
      <c r="U53" s="818"/>
      <c r="V53" s="818"/>
      <c r="W53" s="818"/>
      <c r="X53" s="818"/>
      <c r="Y53" s="818"/>
      <c r="Z53" s="818"/>
      <c r="AA53" s="818"/>
      <c r="AB53" s="818"/>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18"/>
      <c r="AY53" s="818"/>
      <c r="AZ53" s="818"/>
      <c r="BA53" s="818"/>
      <c r="BB53" s="818"/>
      <c r="BC53" s="818"/>
      <c r="BD53" s="818"/>
      <c r="BE53" s="818"/>
      <c r="BF53" s="818"/>
      <c r="BG53" s="818"/>
      <c r="BH53" s="818"/>
      <c r="BI53" s="818"/>
      <c r="BJ53" s="818"/>
      <c r="BK53" s="818"/>
      <c r="BL53" s="818"/>
    </row>
    <row r="54" spans="1:64" ht="16.5" hidden="1" customHeight="1">
      <c r="A54" s="1345" t="s">
        <v>2167</v>
      </c>
      <c r="B54" s="1356">
        <f t="shared" ref="B54:B68" si="4">SUM(C54:I54)</f>
        <v>0</v>
      </c>
      <c r="C54" s="1346">
        <f>EingabenÄnderungen!C140</f>
        <v>0</v>
      </c>
      <c r="D54" s="1346">
        <f>EingabenÄnderungen!D140</f>
        <v>0</v>
      </c>
      <c r="E54" s="1346">
        <f>EingabenÄnderungen!E140</f>
        <v>0</v>
      </c>
      <c r="F54" s="1346">
        <f>EingabenÄnderungen!F140</f>
        <v>0</v>
      </c>
      <c r="G54" s="1346">
        <f>EingabenÄnderungen!G140</f>
        <v>0</v>
      </c>
      <c r="H54" s="1346">
        <f>EingabenÄnderungen!H140</f>
        <v>0</v>
      </c>
      <c r="I54" s="1346">
        <f>EingabenÄnderungen!I140</f>
        <v>0</v>
      </c>
      <c r="L54" s="818"/>
      <c r="M54" s="818"/>
      <c r="N54" s="818"/>
      <c r="O54" s="818"/>
      <c r="P54" s="818"/>
      <c r="Q54" s="818"/>
      <c r="R54" s="818"/>
      <c r="S54" s="818"/>
      <c r="T54" s="818"/>
      <c r="U54" s="818"/>
      <c r="V54" s="818"/>
      <c r="W54" s="818"/>
      <c r="X54" s="818"/>
      <c r="Y54" s="818"/>
      <c r="Z54" s="818"/>
      <c r="AA54" s="818"/>
      <c r="AB54" s="818"/>
      <c r="AC54" s="818"/>
      <c r="AD54" s="818"/>
      <c r="AE54" s="818"/>
      <c r="AF54" s="818"/>
      <c r="AG54" s="818"/>
      <c r="AH54" s="818"/>
      <c r="AI54" s="818"/>
      <c r="AJ54" s="818"/>
      <c r="AK54" s="818"/>
      <c r="AL54" s="818"/>
      <c r="AM54" s="818"/>
      <c r="AN54" s="818"/>
      <c r="AO54" s="818"/>
      <c r="AP54" s="818"/>
      <c r="AQ54" s="818"/>
      <c r="AR54" s="818"/>
      <c r="AS54" s="818"/>
      <c r="AT54" s="818"/>
      <c r="AU54" s="818"/>
      <c r="AV54" s="818"/>
      <c r="AW54" s="818"/>
      <c r="AX54" s="818"/>
      <c r="AY54" s="818"/>
      <c r="AZ54" s="818"/>
      <c r="BA54" s="818"/>
      <c r="BB54" s="818"/>
      <c r="BC54" s="818"/>
      <c r="BD54" s="818"/>
      <c r="BE54" s="818"/>
      <c r="BF54" s="818"/>
      <c r="BG54" s="818"/>
      <c r="BH54" s="818"/>
      <c r="BI54" s="818"/>
      <c r="BJ54" s="818"/>
      <c r="BK54" s="818"/>
      <c r="BL54" s="818"/>
    </row>
    <row r="55" spans="1:64">
      <c r="A55" s="1544">
        <f>IF(B55&gt;0,"Nettolohn",0)</f>
        <v>0</v>
      </c>
      <c r="B55" s="1335">
        <f t="shared" si="4"/>
        <v>0</v>
      </c>
      <c r="C55" s="522">
        <f>EingabenÄnderungen!C133</f>
        <v>0</v>
      </c>
      <c r="D55" s="522">
        <f>EingabenÄnderungen!D133</f>
        <v>0</v>
      </c>
      <c r="E55" s="522">
        <f>EingabenÄnderungen!E133</f>
        <v>0</v>
      </c>
      <c r="F55" s="522">
        <f>EingabenÄnderungen!F133</f>
        <v>0</v>
      </c>
      <c r="G55" s="522">
        <f>EingabenÄnderungen!G133</f>
        <v>0</v>
      </c>
      <c r="H55" s="522">
        <f>EingabenÄnderungen!H133</f>
        <v>0</v>
      </c>
      <c r="I55" s="523">
        <f>EingabenÄnderungen!I133</f>
        <v>0</v>
      </c>
      <c r="L55" s="818"/>
      <c r="M55" s="818"/>
      <c r="N55" s="818"/>
      <c r="O55" s="818"/>
      <c r="P55" s="818"/>
      <c r="Q55" s="818"/>
      <c r="R55" s="818"/>
      <c r="S55" s="818"/>
      <c r="T55" s="818"/>
      <c r="U55" s="818"/>
      <c r="V55" s="818"/>
      <c r="W55" s="818"/>
      <c r="X55" s="818"/>
      <c r="Y55" s="818"/>
      <c r="Z55" s="818"/>
      <c r="AA55" s="818"/>
      <c r="AB55" s="818"/>
      <c r="AC55" s="818"/>
      <c r="AD55" s="818"/>
      <c r="AE55" s="818"/>
      <c r="AF55" s="818"/>
      <c r="AG55" s="818"/>
      <c r="AH55" s="818"/>
      <c r="AI55" s="818"/>
      <c r="AJ55" s="818"/>
      <c r="AK55" s="818"/>
      <c r="AL55" s="818"/>
      <c r="AM55" s="818"/>
      <c r="AN55" s="818"/>
      <c r="AO55" s="818"/>
      <c r="AP55" s="818"/>
      <c r="AQ55" s="818"/>
      <c r="AR55" s="818"/>
      <c r="AS55" s="818"/>
      <c r="AT55" s="818"/>
      <c r="AU55" s="818"/>
      <c r="AV55" s="818"/>
      <c r="AW55" s="818"/>
      <c r="AX55" s="818"/>
      <c r="AY55" s="818"/>
      <c r="AZ55" s="818"/>
      <c r="BA55" s="818"/>
      <c r="BB55" s="818"/>
      <c r="BC55" s="818"/>
      <c r="BD55" s="818"/>
      <c r="BE55" s="818"/>
      <c r="BF55" s="818"/>
      <c r="BG55" s="818"/>
      <c r="BH55" s="818"/>
      <c r="BI55" s="818"/>
      <c r="BJ55" s="818"/>
      <c r="BK55" s="818"/>
      <c r="BL55" s="818"/>
    </row>
    <row r="56" spans="1:64">
      <c r="A56" s="976">
        <f>IF(B56&gt;0,"Ausbildungsvergütung (netto)",0)</f>
        <v>0</v>
      </c>
      <c r="B56" s="1335">
        <f t="shared" si="4"/>
        <v>0</v>
      </c>
      <c r="C56" s="522">
        <f>EingabenÄnderungen!C137</f>
        <v>0</v>
      </c>
      <c r="D56" s="522">
        <f>EingabenÄnderungen!D137</f>
        <v>0</v>
      </c>
      <c r="E56" s="522">
        <f>EingabenÄnderungen!E137</f>
        <v>0</v>
      </c>
      <c r="F56" s="522">
        <f>EingabenÄnderungen!F137</f>
        <v>0</v>
      </c>
      <c r="G56" s="522">
        <f>EingabenÄnderungen!G137</f>
        <v>0</v>
      </c>
      <c r="H56" s="522">
        <f>EingabenÄnderungen!H137</f>
        <v>0</v>
      </c>
      <c r="I56" s="523">
        <f>EingabenÄnderungen!I137</f>
        <v>0</v>
      </c>
      <c r="L56" s="818"/>
      <c r="M56" s="818"/>
      <c r="N56" s="818"/>
      <c r="O56" s="818"/>
      <c r="P56" s="818"/>
      <c r="Q56" s="818"/>
      <c r="R56" s="818"/>
      <c r="S56" s="818"/>
      <c r="T56" s="818"/>
      <c r="U56" s="818"/>
      <c r="V56" s="818"/>
      <c r="W56" s="818"/>
      <c r="X56" s="818"/>
      <c r="Y56" s="818"/>
      <c r="Z56" s="818"/>
      <c r="AA56" s="818"/>
      <c r="AB56" s="818"/>
      <c r="AC56" s="818"/>
      <c r="AD56" s="818"/>
      <c r="AE56" s="818"/>
      <c r="AF56" s="818"/>
      <c r="AG56" s="818"/>
      <c r="AH56" s="818"/>
      <c r="AI56" s="818"/>
      <c r="AJ56" s="818"/>
      <c r="AK56" s="818"/>
      <c r="AL56" s="818"/>
      <c r="AM56" s="818"/>
      <c r="AN56" s="818"/>
      <c r="AO56" s="818"/>
      <c r="AP56" s="818"/>
      <c r="AQ56" s="818"/>
      <c r="AR56" s="818"/>
      <c r="AS56" s="818"/>
      <c r="AT56" s="818"/>
      <c r="AU56" s="818"/>
      <c r="AV56" s="818"/>
      <c r="AW56" s="818"/>
      <c r="AX56" s="818"/>
      <c r="AY56" s="818"/>
      <c r="AZ56" s="818"/>
      <c r="BA56" s="818"/>
      <c r="BB56" s="818"/>
      <c r="BC56" s="818"/>
      <c r="BD56" s="818"/>
      <c r="BE56" s="818"/>
      <c r="BF56" s="818"/>
      <c r="BG56" s="818"/>
      <c r="BH56" s="818"/>
      <c r="BI56" s="818"/>
      <c r="BJ56" s="818"/>
      <c r="BK56" s="818"/>
      <c r="BL56" s="818"/>
    </row>
    <row r="57" spans="1:64">
      <c r="A57" s="976">
        <f>IF(B57&gt;0,EingabenÄnderungen!A139,0)</f>
        <v>0</v>
      </c>
      <c r="B57" s="1335">
        <f t="shared" si="4"/>
        <v>0</v>
      </c>
      <c r="C57" s="522">
        <f>EingabenÄnderungen!C139</f>
        <v>0</v>
      </c>
      <c r="D57" s="522">
        <f>EingabenÄnderungen!D139</f>
        <v>0</v>
      </c>
      <c r="E57" s="522">
        <f>EingabenÄnderungen!E139</f>
        <v>0</v>
      </c>
      <c r="F57" s="522">
        <f>EingabenÄnderungen!F139</f>
        <v>0</v>
      </c>
      <c r="G57" s="522">
        <f>EingabenÄnderungen!G139</f>
        <v>0</v>
      </c>
      <c r="H57" s="522">
        <f>EingabenÄnderungen!H139</f>
        <v>0</v>
      </c>
      <c r="I57" s="523">
        <f>EingabenÄnderungen!I139</f>
        <v>0</v>
      </c>
      <c r="L57" s="818"/>
      <c r="M57" s="818"/>
      <c r="N57" s="818"/>
      <c r="O57" s="818"/>
      <c r="P57" s="818"/>
      <c r="Q57" s="818"/>
      <c r="R57" s="818"/>
      <c r="S57" s="818"/>
      <c r="T57" s="818"/>
      <c r="U57" s="818"/>
      <c r="V57" s="818"/>
      <c r="W57" s="818"/>
      <c r="X57" s="818"/>
      <c r="Y57" s="818"/>
      <c r="Z57" s="818"/>
      <c r="AA57" s="818"/>
      <c r="AB57" s="818"/>
      <c r="AC57" s="818"/>
      <c r="AD57" s="818"/>
      <c r="AE57" s="818"/>
      <c r="AF57" s="818"/>
      <c r="AG57" s="818"/>
      <c r="AH57" s="818"/>
      <c r="AI57" s="818"/>
      <c r="AJ57" s="818"/>
      <c r="AK57" s="818"/>
      <c r="AL57" s="818"/>
      <c r="AM57" s="818"/>
      <c r="AN57" s="818"/>
      <c r="AO57" s="818"/>
      <c r="AP57" s="818"/>
      <c r="AQ57" s="818"/>
      <c r="AR57" s="818"/>
      <c r="AS57" s="818"/>
      <c r="AT57" s="818"/>
      <c r="AU57" s="818"/>
      <c r="AV57" s="818"/>
      <c r="AW57" s="818"/>
      <c r="AX57" s="818"/>
      <c r="AY57" s="818"/>
      <c r="AZ57" s="818"/>
      <c r="BA57" s="818"/>
      <c r="BB57" s="818"/>
      <c r="BC57" s="818"/>
      <c r="BD57" s="818"/>
      <c r="BE57" s="818"/>
      <c r="BF57" s="818"/>
      <c r="BG57" s="818"/>
      <c r="BH57" s="818"/>
      <c r="BI57" s="818"/>
      <c r="BJ57" s="818"/>
      <c r="BK57" s="818"/>
      <c r="BL57" s="818"/>
    </row>
    <row r="58" spans="1:64">
      <c r="A58" s="976">
        <f>IF(B58&gt;0,"steuerfreie Einnahmen Ehrenamt o.ä.",0)</f>
        <v>0</v>
      </c>
      <c r="B58" s="1335">
        <f t="shared" si="4"/>
        <v>0</v>
      </c>
      <c r="C58" s="522">
        <f>EingabenÄnderungen!C138</f>
        <v>0</v>
      </c>
      <c r="D58" s="522">
        <f>EingabenÄnderungen!D138</f>
        <v>0</v>
      </c>
      <c r="E58" s="522">
        <f>EingabenÄnderungen!E138</f>
        <v>0</v>
      </c>
      <c r="F58" s="522">
        <f>EingabenÄnderungen!F138</f>
        <v>0</v>
      </c>
      <c r="G58" s="522">
        <f>EingabenÄnderungen!G138</f>
        <v>0</v>
      </c>
      <c r="H58" s="522">
        <f>EingabenÄnderungen!H138</f>
        <v>0</v>
      </c>
      <c r="I58" s="523">
        <f>EingabenÄnderungen!I138</f>
        <v>0</v>
      </c>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8"/>
      <c r="AI58" s="818"/>
      <c r="AJ58" s="818"/>
      <c r="AK58" s="818"/>
      <c r="AL58" s="818"/>
      <c r="AM58" s="818"/>
      <c r="AN58" s="818"/>
      <c r="AO58" s="818"/>
      <c r="AP58" s="818"/>
      <c r="AQ58" s="818"/>
      <c r="AR58" s="818"/>
      <c r="AS58" s="818"/>
      <c r="AT58" s="818"/>
      <c r="AU58" s="818"/>
      <c r="AV58" s="818"/>
      <c r="AW58" s="818"/>
      <c r="AX58" s="818"/>
      <c r="AY58" s="818"/>
      <c r="AZ58" s="818"/>
      <c r="BA58" s="818"/>
      <c r="BB58" s="818"/>
      <c r="BC58" s="818"/>
      <c r="BD58" s="818"/>
      <c r="BE58" s="818"/>
      <c r="BF58" s="818"/>
      <c r="BG58" s="818"/>
      <c r="BH58" s="818"/>
      <c r="BI58" s="818"/>
      <c r="BJ58" s="818"/>
      <c r="BK58" s="818"/>
      <c r="BL58" s="818"/>
    </row>
    <row r="59" spans="1:64">
      <c r="A59" s="976">
        <f>IF(B59&gt;0,"Einkommen aus Freiwilligendienste",0)</f>
        <v>0</v>
      </c>
      <c r="B59" s="1335">
        <f t="shared" si="4"/>
        <v>0</v>
      </c>
      <c r="C59" s="522">
        <f>EingabenÄnderungen!C168</f>
        <v>0</v>
      </c>
      <c r="D59" s="522">
        <f>EingabenÄnderungen!D168</f>
        <v>0</v>
      </c>
      <c r="E59" s="522">
        <f>EingabenÄnderungen!E168</f>
        <v>0</v>
      </c>
      <c r="F59" s="522">
        <f>EingabenÄnderungen!F168</f>
        <v>0</v>
      </c>
      <c r="G59" s="522">
        <f>EingabenÄnderungen!G168</f>
        <v>0</v>
      </c>
      <c r="H59" s="522">
        <f>EingabenÄnderungen!H168</f>
        <v>0</v>
      </c>
      <c r="I59" s="523">
        <f>EingabenÄnderungen!I168</f>
        <v>0</v>
      </c>
      <c r="L59" s="818"/>
      <c r="M59" s="818"/>
      <c r="N59" s="818"/>
      <c r="O59" s="818"/>
      <c r="P59" s="818"/>
      <c r="Q59" s="818"/>
      <c r="R59" s="818"/>
      <c r="S59" s="818"/>
      <c r="T59" s="818"/>
      <c r="U59" s="818"/>
      <c r="V59" s="818"/>
      <c r="W59" s="818"/>
      <c r="X59" s="818"/>
      <c r="Y59" s="818"/>
      <c r="Z59" s="818"/>
      <c r="AA59" s="818"/>
      <c r="AB59" s="818"/>
      <c r="AC59" s="818"/>
      <c r="AD59" s="818"/>
      <c r="AE59" s="818"/>
      <c r="AF59" s="818"/>
      <c r="AG59" s="818"/>
      <c r="AH59" s="818"/>
      <c r="AI59" s="818"/>
      <c r="AJ59" s="818"/>
      <c r="AK59" s="818"/>
      <c r="AL59" s="818"/>
      <c r="AM59" s="818"/>
      <c r="AN59" s="818"/>
      <c r="AO59" s="818"/>
      <c r="AP59" s="818"/>
      <c r="AQ59" s="818"/>
      <c r="AR59" s="818"/>
      <c r="AS59" s="818"/>
      <c r="AT59" s="818"/>
      <c r="AU59" s="818"/>
      <c r="AV59" s="818"/>
      <c r="AW59" s="818"/>
      <c r="AX59" s="818"/>
      <c r="AY59" s="818"/>
      <c r="AZ59" s="818"/>
      <c r="BA59" s="818"/>
      <c r="BB59" s="818"/>
      <c r="BC59" s="818"/>
      <c r="BD59" s="818"/>
      <c r="BE59" s="818"/>
      <c r="BF59" s="818"/>
      <c r="BG59" s="818"/>
      <c r="BH59" s="818"/>
      <c r="BI59" s="818"/>
      <c r="BJ59" s="818"/>
      <c r="BK59" s="818"/>
      <c r="BL59" s="818"/>
    </row>
    <row r="60" spans="1:64">
      <c r="A60" s="976">
        <f>IF(B60&gt;0,"Elterngeld",0)</f>
        <v>0</v>
      </c>
      <c r="B60" s="1335">
        <f t="shared" si="4"/>
        <v>0</v>
      </c>
      <c r="C60" s="522">
        <f>EingabenÄnderungen!C172</f>
        <v>0</v>
      </c>
      <c r="D60" s="522">
        <f>EingabenÄnderungen!D172</f>
        <v>0</v>
      </c>
      <c r="E60" s="522"/>
      <c r="F60" s="522"/>
      <c r="G60" s="522"/>
      <c r="H60" s="522"/>
      <c r="I60" s="523"/>
      <c r="L60" s="818"/>
      <c r="M60" s="818"/>
      <c r="N60" s="818"/>
      <c r="O60" s="818"/>
      <c r="P60" s="818"/>
      <c r="Q60" s="818"/>
      <c r="R60" s="818"/>
      <c r="S60" s="818"/>
      <c r="T60" s="818"/>
      <c r="U60" s="818"/>
      <c r="V60" s="818"/>
      <c r="W60" s="818"/>
      <c r="X60" s="818"/>
      <c r="Y60" s="818"/>
      <c r="Z60" s="818"/>
      <c r="AA60" s="818"/>
      <c r="AB60" s="818"/>
      <c r="AC60" s="818"/>
      <c r="AD60" s="818"/>
      <c r="AE60" s="818"/>
      <c r="AF60" s="818"/>
      <c r="AG60" s="818"/>
      <c r="AH60" s="818"/>
      <c r="AI60" s="818"/>
      <c r="AJ60" s="818"/>
      <c r="AK60" s="818"/>
      <c r="AL60" s="818"/>
      <c r="AM60" s="818"/>
      <c r="AN60" s="818"/>
      <c r="AO60" s="818"/>
      <c r="AP60" s="818"/>
      <c r="AQ60" s="818"/>
      <c r="AR60" s="818"/>
      <c r="AS60" s="818"/>
      <c r="AT60" s="818"/>
      <c r="AU60" s="818"/>
      <c r="AV60" s="818"/>
      <c r="AW60" s="818"/>
      <c r="AX60" s="818"/>
      <c r="AY60" s="818"/>
      <c r="AZ60" s="818"/>
      <c r="BA60" s="818"/>
      <c r="BB60" s="818"/>
      <c r="BC60" s="818"/>
      <c r="BD60" s="818"/>
      <c r="BE60" s="818"/>
      <c r="BF60" s="818"/>
      <c r="BG60" s="818"/>
      <c r="BH60" s="818"/>
      <c r="BI60" s="818"/>
      <c r="BJ60" s="818"/>
      <c r="BK60" s="818"/>
      <c r="BL60" s="818"/>
    </row>
    <row r="61" spans="1:64">
      <c r="A61" s="976">
        <f>IF(B61&gt;0,EingabenÄnderungen!A178,0)</f>
        <v>0</v>
      </c>
      <c r="B61" s="1335">
        <f t="shared" si="4"/>
        <v>0</v>
      </c>
      <c r="C61" s="522">
        <f>EingabenÄnderungen!C178</f>
        <v>0</v>
      </c>
      <c r="D61" s="522">
        <f>EingabenÄnderungen!D178</f>
        <v>0</v>
      </c>
      <c r="E61" s="522">
        <f>EingabenÄnderungen!E178</f>
        <v>0</v>
      </c>
      <c r="F61" s="522">
        <f>EingabenÄnderungen!F178</f>
        <v>0</v>
      </c>
      <c r="G61" s="522"/>
      <c r="H61" s="522"/>
      <c r="I61" s="523"/>
      <c r="L61" s="818"/>
      <c r="M61" s="818"/>
      <c r="N61" s="818"/>
      <c r="O61" s="818"/>
      <c r="P61" s="818"/>
      <c r="Q61" s="818"/>
      <c r="R61" s="818"/>
      <c r="S61" s="818"/>
      <c r="T61" s="818"/>
      <c r="U61" s="818"/>
      <c r="V61" s="818"/>
      <c r="W61" s="818"/>
      <c r="X61" s="818"/>
      <c r="Y61" s="818"/>
      <c r="Z61" s="818"/>
      <c r="AA61" s="818"/>
      <c r="AB61" s="818"/>
      <c r="AC61" s="818"/>
      <c r="AD61" s="818"/>
      <c r="AE61" s="818"/>
      <c r="AF61" s="818"/>
      <c r="AG61" s="818"/>
      <c r="AH61" s="818"/>
      <c r="AI61" s="818"/>
      <c r="AJ61" s="818"/>
      <c r="AK61" s="818"/>
      <c r="AL61" s="818"/>
      <c r="AM61" s="818"/>
      <c r="AN61" s="818"/>
      <c r="AO61" s="818"/>
      <c r="AP61" s="818"/>
      <c r="AQ61" s="818"/>
      <c r="AR61" s="818"/>
      <c r="AS61" s="818"/>
      <c r="AT61" s="818"/>
      <c r="AU61" s="818"/>
      <c r="AV61" s="818"/>
      <c r="AW61" s="818"/>
      <c r="AX61" s="818"/>
      <c r="AY61" s="818"/>
      <c r="AZ61" s="818"/>
      <c r="BA61" s="818"/>
      <c r="BB61" s="818"/>
      <c r="BC61" s="818"/>
      <c r="BD61" s="818"/>
      <c r="BE61" s="818"/>
      <c r="BF61" s="818"/>
      <c r="BG61" s="818"/>
      <c r="BH61" s="818"/>
      <c r="BI61" s="818"/>
      <c r="BJ61" s="818"/>
      <c r="BK61" s="818"/>
      <c r="BL61" s="818"/>
    </row>
    <row r="62" spans="1:64">
      <c r="A62" s="976">
        <f>IF(B62&gt;0,"Kindergeld",0)</f>
        <v>0</v>
      </c>
      <c r="B62" s="1335">
        <f t="shared" si="4"/>
        <v>0</v>
      </c>
      <c r="C62" s="522">
        <f>EingabenÄnderungen!C190</f>
        <v>0</v>
      </c>
      <c r="D62" s="522">
        <f>EingabenÄnderungen!D190</f>
        <v>0</v>
      </c>
      <c r="E62" s="522">
        <f>EingabenÄnderungen!E190</f>
        <v>0</v>
      </c>
      <c r="F62" s="522">
        <f>EingabenÄnderungen!F190</f>
        <v>0</v>
      </c>
      <c r="G62" s="522">
        <f>EingabenÄnderungen!G190</f>
        <v>0</v>
      </c>
      <c r="H62" s="522">
        <f>EingabenÄnderungen!H190</f>
        <v>0</v>
      </c>
      <c r="I62" s="523">
        <f>EingabenÄnderungen!I190</f>
        <v>0</v>
      </c>
      <c r="L62" s="818"/>
      <c r="M62" s="818"/>
      <c r="N62" s="818"/>
      <c r="O62" s="818"/>
      <c r="P62" s="818"/>
      <c r="Q62" s="818"/>
      <c r="R62" s="818"/>
      <c r="S62" s="818"/>
      <c r="T62" s="818"/>
      <c r="U62" s="818"/>
      <c r="V62" s="818"/>
      <c r="W62" s="818"/>
      <c r="X62" s="818"/>
      <c r="Y62" s="818"/>
      <c r="Z62" s="818"/>
      <c r="AA62" s="818"/>
      <c r="AB62" s="818"/>
      <c r="AC62" s="818"/>
      <c r="AD62" s="818"/>
      <c r="AE62" s="818"/>
      <c r="AF62" s="818"/>
      <c r="AG62" s="818"/>
      <c r="AH62" s="818"/>
      <c r="AI62" s="818"/>
      <c r="AJ62" s="818"/>
      <c r="AK62" s="818"/>
      <c r="AL62" s="818"/>
      <c r="AM62" s="818"/>
      <c r="AN62" s="818"/>
      <c r="AO62" s="818"/>
      <c r="AP62" s="818"/>
      <c r="AQ62" s="818"/>
      <c r="AR62" s="818"/>
      <c r="AS62" s="818"/>
      <c r="AT62" s="818"/>
      <c r="AU62" s="818"/>
      <c r="AV62" s="818"/>
      <c r="AW62" s="818"/>
      <c r="AX62" s="818"/>
      <c r="AY62" s="818"/>
      <c r="AZ62" s="818"/>
      <c r="BA62" s="818"/>
      <c r="BB62" s="818"/>
      <c r="BC62" s="818"/>
      <c r="BD62" s="818"/>
      <c r="BE62" s="818"/>
      <c r="BF62" s="818"/>
      <c r="BG62" s="818"/>
      <c r="BH62" s="818"/>
      <c r="BI62" s="818"/>
      <c r="BJ62" s="818"/>
      <c r="BK62" s="818"/>
      <c r="BL62" s="818"/>
    </row>
    <row r="63" spans="1:64">
      <c r="A63" s="976">
        <f>IF(B63&gt;0,"Unterhalt/Unterhaltsvorschuss",0)</f>
        <v>0</v>
      </c>
      <c r="B63" s="1335">
        <f t="shared" si="4"/>
        <v>0</v>
      </c>
      <c r="C63" s="522">
        <f>EingabenÄnderungen!C193</f>
        <v>0</v>
      </c>
      <c r="D63" s="522">
        <f>EingabenÄnderungen!D193</f>
        <v>0</v>
      </c>
      <c r="E63" s="522">
        <f>EingabenÄnderungen!E193</f>
        <v>0</v>
      </c>
      <c r="F63" s="522">
        <f>EingabenÄnderungen!F193</f>
        <v>0</v>
      </c>
      <c r="G63" s="522">
        <f>EingabenÄnderungen!G193</f>
        <v>0</v>
      </c>
      <c r="H63" s="522">
        <f>EingabenÄnderungen!H193</f>
        <v>0</v>
      </c>
      <c r="I63" s="523">
        <f>EingabenÄnderungen!I193</f>
        <v>0</v>
      </c>
      <c r="L63" s="818"/>
      <c r="M63" s="818"/>
      <c r="N63" s="818"/>
      <c r="O63" s="818"/>
      <c r="P63" s="818"/>
      <c r="Q63" s="818"/>
      <c r="R63" s="818"/>
      <c r="S63" s="818"/>
      <c r="T63" s="818"/>
      <c r="U63" s="818"/>
      <c r="V63" s="818"/>
      <c r="W63" s="818"/>
      <c r="X63" s="818"/>
      <c r="Y63" s="818"/>
      <c r="Z63" s="818"/>
      <c r="AA63" s="818"/>
      <c r="AB63" s="818"/>
      <c r="AC63" s="818"/>
      <c r="AD63" s="818"/>
      <c r="AE63" s="818"/>
      <c r="AF63" s="818"/>
      <c r="AG63" s="818"/>
      <c r="AH63" s="818"/>
      <c r="AI63" s="818"/>
      <c r="AJ63" s="818"/>
      <c r="AK63" s="818"/>
      <c r="AL63" s="818"/>
      <c r="AM63" s="818"/>
      <c r="AN63" s="818"/>
      <c r="AO63" s="818"/>
      <c r="AP63" s="818"/>
      <c r="AQ63" s="818"/>
      <c r="AR63" s="818"/>
      <c r="AS63" s="818"/>
      <c r="AT63" s="818"/>
      <c r="AU63" s="818"/>
      <c r="AV63" s="818"/>
      <c r="AW63" s="818"/>
      <c r="AX63" s="818"/>
      <c r="AY63" s="818"/>
      <c r="AZ63" s="818"/>
      <c r="BA63" s="818"/>
      <c r="BB63" s="818"/>
      <c r="BC63" s="818"/>
      <c r="BD63" s="818"/>
      <c r="BE63" s="818"/>
      <c r="BF63" s="818"/>
      <c r="BG63" s="818"/>
      <c r="BH63" s="818"/>
      <c r="BI63" s="818"/>
      <c r="BJ63" s="818"/>
      <c r="BK63" s="818"/>
      <c r="BL63" s="818"/>
    </row>
    <row r="64" spans="1:64">
      <c r="A64" s="976">
        <f>IF(B64&gt;0,EingabenÄnderungen!A194,0)</f>
        <v>0</v>
      </c>
      <c r="B64" s="1335">
        <f t="shared" si="4"/>
        <v>0</v>
      </c>
      <c r="C64" s="522">
        <f>EingabenÄnderungen!C194</f>
        <v>0</v>
      </c>
      <c r="D64" s="522">
        <f>EingabenÄnderungen!D194</f>
        <v>0</v>
      </c>
      <c r="E64" s="522">
        <f>EingabenÄnderungen!E194</f>
        <v>0</v>
      </c>
      <c r="F64" s="522">
        <f>EingabenÄnderungen!F194</f>
        <v>0</v>
      </c>
      <c r="G64" s="522">
        <f>EingabenÄnderungen!G194</f>
        <v>0</v>
      </c>
      <c r="H64" s="522">
        <f>EingabenÄnderungen!H194</f>
        <v>0</v>
      </c>
      <c r="I64" s="523">
        <f>EingabenÄnderungen!I194</f>
        <v>0</v>
      </c>
      <c r="L64" s="818"/>
      <c r="M64" s="818"/>
      <c r="N64" s="818"/>
      <c r="O64" s="818"/>
      <c r="P64" s="818"/>
      <c r="Q64" s="818"/>
      <c r="R64" s="818"/>
      <c r="S64" s="818"/>
      <c r="T64" s="818"/>
      <c r="U64" s="818"/>
      <c r="V64" s="818"/>
      <c r="W64" s="818"/>
      <c r="X64" s="818"/>
      <c r="Y64" s="818"/>
      <c r="Z64" s="818"/>
      <c r="AA64" s="818"/>
      <c r="AB64" s="818"/>
      <c r="AC64" s="818"/>
      <c r="AD64" s="818"/>
      <c r="AE64" s="818"/>
      <c r="AF64" s="818"/>
      <c r="AG64" s="818"/>
      <c r="AH64" s="818"/>
      <c r="AI64" s="818"/>
      <c r="AJ64" s="818"/>
      <c r="AK64" s="818"/>
      <c r="AL64" s="818"/>
      <c r="AM64" s="818"/>
      <c r="AN64" s="818"/>
      <c r="AO64" s="818"/>
      <c r="AP64" s="818"/>
      <c r="AQ64" s="818"/>
      <c r="AR64" s="818"/>
      <c r="AS64" s="818"/>
      <c r="AT64" s="818"/>
      <c r="AU64" s="818"/>
      <c r="AV64" s="818"/>
      <c r="AW64" s="818"/>
      <c r="AX64" s="818"/>
      <c r="AY64" s="818"/>
      <c r="AZ64" s="818"/>
      <c r="BA64" s="818"/>
      <c r="BB64" s="818"/>
      <c r="BC64" s="818"/>
      <c r="BD64" s="818"/>
      <c r="BE64" s="818"/>
      <c r="BF64" s="818"/>
      <c r="BG64" s="818"/>
      <c r="BH64" s="818"/>
      <c r="BI64" s="818"/>
      <c r="BJ64" s="818"/>
      <c r="BK64" s="818"/>
      <c r="BL64" s="818"/>
    </row>
    <row r="65" spans="1:64">
      <c r="A65" s="976">
        <f>IF(B65&gt;0,"Altersrente",0)</f>
        <v>0</v>
      </c>
      <c r="B65" s="1335">
        <f t="shared" si="4"/>
        <v>0</v>
      </c>
      <c r="C65" s="522">
        <f>EingabenÄnderungen!C195</f>
        <v>0</v>
      </c>
      <c r="D65" s="522">
        <f>EingabenÄnderungen!D195</f>
        <v>0</v>
      </c>
      <c r="E65" s="522">
        <f>EingabenÄnderungen!E195</f>
        <v>0</v>
      </c>
      <c r="F65" s="522">
        <f>EingabenÄnderungen!F195</f>
        <v>0</v>
      </c>
      <c r="G65" s="522">
        <f>EingabenÄnderungen!G195</f>
        <v>0</v>
      </c>
      <c r="H65" s="522">
        <f>EingabenÄnderungen!H195</f>
        <v>0</v>
      </c>
      <c r="I65" s="523">
        <f>EingabenÄnderungen!I195</f>
        <v>0</v>
      </c>
      <c r="L65" s="818"/>
      <c r="M65" s="818"/>
      <c r="N65" s="818"/>
      <c r="O65" s="818"/>
      <c r="P65" s="818"/>
      <c r="Q65" s="818"/>
      <c r="R65" s="818"/>
      <c r="S65" s="818"/>
      <c r="T65" s="818"/>
      <c r="U65" s="818"/>
      <c r="V65" s="818"/>
      <c r="W65" s="818"/>
      <c r="X65" s="818"/>
      <c r="Y65" s="818"/>
      <c r="Z65" s="818"/>
      <c r="AA65" s="818"/>
      <c r="AB65" s="818"/>
      <c r="AC65" s="818"/>
      <c r="AD65" s="818"/>
      <c r="AE65" s="818"/>
      <c r="AF65" s="818"/>
      <c r="AG65" s="818"/>
      <c r="AH65" s="818"/>
      <c r="AI65" s="818"/>
      <c r="AJ65" s="818"/>
      <c r="AK65" s="818"/>
      <c r="AL65" s="818"/>
      <c r="AM65" s="818"/>
      <c r="AN65" s="818"/>
      <c r="AO65" s="818"/>
      <c r="AP65" s="818"/>
      <c r="AQ65" s="818"/>
      <c r="AR65" s="818"/>
      <c r="AS65" s="818"/>
      <c r="AT65" s="818"/>
      <c r="AU65" s="818"/>
      <c r="AV65" s="818"/>
      <c r="AW65" s="818"/>
      <c r="AX65" s="818"/>
      <c r="AY65" s="818"/>
      <c r="AZ65" s="818"/>
      <c r="BA65" s="818"/>
      <c r="BB65" s="818"/>
      <c r="BC65" s="818"/>
      <c r="BD65" s="818"/>
      <c r="BE65" s="818"/>
      <c r="BF65" s="818"/>
      <c r="BG65" s="818"/>
      <c r="BH65" s="818"/>
      <c r="BI65" s="818"/>
      <c r="BJ65" s="818"/>
      <c r="BK65" s="818"/>
      <c r="BL65" s="818"/>
    </row>
    <row r="66" spans="1:64">
      <c r="A66" s="976">
        <f>IF(B66&gt;0,EingabenÄnderungen!A196,0)</f>
        <v>0</v>
      </c>
      <c r="B66" s="1335">
        <f t="shared" si="4"/>
        <v>0</v>
      </c>
      <c r="C66" s="522">
        <f>EingabenÄnderungen!C196</f>
        <v>0</v>
      </c>
      <c r="D66" s="522">
        <f>EingabenÄnderungen!D196</f>
        <v>0</v>
      </c>
      <c r="E66" s="522">
        <f>EingabenÄnderungen!E196</f>
        <v>0</v>
      </c>
      <c r="F66" s="522">
        <f>EingabenÄnderungen!F196</f>
        <v>0</v>
      </c>
      <c r="G66" s="522">
        <f>EingabenÄnderungen!G196</f>
        <v>0</v>
      </c>
      <c r="H66" s="522">
        <f>EingabenÄnderungen!H196</f>
        <v>0</v>
      </c>
      <c r="I66" s="523">
        <f>EingabenÄnderungen!I196</f>
        <v>0</v>
      </c>
      <c r="L66" s="818"/>
      <c r="M66" s="818"/>
      <c r="N66" s="818"/>
      <c r="O66" s="818"/>
      <c r="P66" s="818"/>
      <c r="Q66" s="818"/>
      <c r="R66" s="818"/>
      <c r="S66" s="818"/>
      <c r="T66" s="818"/>
      <c r="U66" s="818"/>
      <c r="V66" s="818"/>
      <c r="W66" s="818"/>
      <c r="X66" s="818"/>
      <c r="Y66" s="818"/>
      <c r="Z66" s="818"/>
      <c r="AA66" s="818"/>
      <c r="AB66" s="818"/>
      <c r="AC66" s="818"/>
      <c r="AD66" s="818"/>
      <c r="AE66" s="818"/>
      <c r="AF66" s="818"/>
      <c r="AG66" s="818"/>
      <c r="AH66" s="818"/>
      <c r="AI66" s="818"/>
      <c r="AJ66" s="818"/>
      <c r="AK66" s="818"/>
      <c r="AL66" s="818"/>
      <c r="AM66" s="818"/>
      <c r="AN66" s="818"/>
      <c r="AO66" s="818"/>
      <c r="AP66" s="818"/>
      <c r="AQ66" s="818"/>
      <c r="AR66" s="818"/>
      <c r="AS66" s="818"/>
      <c r="AT66" s="818"/>
      <c r="AU66" s="818"/>
      <c r="AV66" s="818"/>
      <c r="AW66" s="818"/>
      <c r="AX66" s="818"/>
      <c r="AY66" s="818"/>
      <c r="AZ66" s="818"/>
      <c r="BA66" s="818"/>
      <c r="BB66" s="818"/>
      <c r="BC66" s="818"/>
      <c r="BD66" s="818"/>
      <c r="BE66" s="818"/>
      <c r="BF66" s="818"/>
      <c r="BG66" s="818"/>
      <c r="BH66" s="818"/>
      <c r="BI66" s="818"/>
      <c r="BJ66" s="818"/>
      <c r="BK66" s="818"/>
      <c r="BL66" s="818"/>
    </row>
    <row r="67" spans="1:64" ht="16.5" hidden="1" customHeight="1">
      <c r="A67" s="976"/>
      <c r="B67" s="1335">
        <f t="shared" si="4"/>
        <v>0</v>
      </c>
      <c r="C67" s="522"/>
      <c r="D67" s="522"/>
      <c r="E67" s="522"/>
      <c r="F67" s="522"/>
      <c r="G67" s="522"/>
      <c r="H67" s="522"/>
      <c r="I67" s="523"/>
      <c r="L67" s="818"/>
      <c r="M67" s="818"/>
      <c r="N67" s="818"/>
      <c r="O67" s="818"/>
      <c r="P67" s="818"/>
      <c r="Q67" s="818"/>
      <c r="R67" s="818"/>
      <c r="S67" s="818"/>
      <c r="T67" s="818"/>
      <c r="U67" s="818"/>
      <c r="V67" s="818"/>
      <c r="W67" s="818"/>
      <c r="X67" s="818"/>
      <c r="Y67" s="818"/>
      <c r="Z67" s="818"/>
      <c r="AA67" s="818"/>
      <c r="AB67" s="818"/>
      <c r="AC67" s="818"/>
      <c r="AD67" s="818"/>
      <c r="AE67" s="818"/>
      <c r="AF67" s="818"/>
      <c r="AG67" s="818"/>
      <c r="AH67" s="818"/>
      <c r="AI67" s="818"/>
      <c r="AJ67" s="818"/>
      <c r="AK67" s="818"/>
      <c r="AL67" s="818"/>
      <c r="AM67" s="818"/>
      <c r="AN67" s="818"/>
      <c r="AO67" s="818"/>
      <c r="AP67" s="818"/>
      <c r="AQ67" s="818"/>
      <c r="AR67" s="818"/>
      <c r="AS67" s="818"/>
      <c r="AT67" s="818"/>
      <c r="AU67" s="818"/>
      <c r="AV67" s="818"/>
      <c r="AW67" s="818"/>
      <c r="AX67" s="818"/>
      <c r="AY67" s="818"/>
      <c r="AZ67" s="818"/>
      <c r="BA67" s="818"/>
      <c r="BB67" s="818"/>
      <c r="BC67" s="818"/>
      <c r="BD67" s="818"/>
      <c r="BE67" s="818"/>
      <c r="BF67" s="818"/>
      <c r="BG67" s="818"/>
      <c r="BH67" s="818"/>
      <c r="BI67" s="818"/>
      <c r="BJ67" s="818"/>
      <c r="BK67" s="818"/>
      <c r="BL67" s="818"/>
    </row>
    <row r="68" spans="1:64">
      <c r="A68" s="1022">
        <f>IF(B68&gt;0,EingabenÄnderungen!A197,0)</f>
        <v>0</v>
      </c>
      <c r="B68" s="1357">
        <f t="shared" si="4"/>
        <v>0</v>
      </c>
      <c r="C68" s="1024">
        <f>EingabenÄnderungen!C197</f>
        <v>0</v>
      </c>
      <c r="D68" s="1024">
        <f>EingabenÄnderungen!D197</f>
        <v>0</v>
      </c>
      <c r="E68" s="1024">
        <f>EingabenÄnderungen!E197</f>
        <v>0</v>
      </c>
      <c r="F68" s="1024">
        <f>EingabenÄnderungen!F197</f>
        <v>0</v>
      </c>
      <c r="G68" s="1024">
        <f>EingabenÄnderungen!G197</f>
        <v>0</v>
      </c>
      <c r="H68" s="1024">
        <f>EingabenÄnderungen!H197</f>
        <v>0</v>
      </c>
      <c r="I68" s="1025">
        <f>EingabenÄnderungen!I197</f>
        <v>0</v>
      </c>
      <c r="L68" s="818"/>
      <c r="M68" s="818"/>
      <c r="N68" s="818"/>
      <c r="O68" s="818"/>
      <c r="P68" s="818"/>
      <c r="Q68" s="818"/>
      <c r="R68" s="818"/>
      <c r="S68" s="818"/>
      <c r="T68" s="818"/>
      <c r="U68" s="818"/>
      <c r="V68" s="818"/>
      <c r="W68" s="818"/>
      <c r="X68" s="818"/>
      <c r="Y68" s="818"/>
      <c r="Z68" s="818"/>
      <c r="AA68" s="818"/>
      <c r="AB68" s="818"/>
      <c r="AC68" s="818"/>
      <c r="AD68" s="818"/>
      <c r="AE68" s="818"/>
      <c r="AF68" s="818"/>
      <c r="AG68" s="818"/>
      <c r="AH68" s="818"/>
      <c r="AI68" s="818"/>
      <c r="AJ68" s="818"/>
      <c r="AK68" s="818"/>
      <c r="AL68" s="818"/>
      <c r="AM68" s="818"/>
      <c r="AN68" s="818"/>
      <c r="AO68" s="818"/>
      <c r="AP68" s="818"/>
      <c r="AQ68" s="818"/>
      <c r="AR68" s="818"/>
      <c r="AS68" s="818"/>
      <c r="AT68" s="818"/>
      <c r="AU68" s="818"/>
      <c r="AV68" s="818"/>
      <c r="AW68" s="818"/>
      <c r="AX68" s="818"/>
      <c r="AY68" s="818"/>
      <c r="AZ68" s="818"/>
      <c r="BA68" s="818"/>
      <c r="BB68" s="818"/>
      <c r="BC68" s="818"/>
      <c r="BD68" s="818"/>
      <c r="BE68" s="818"/>
      <c r="BF68" s="818"/>
      <c r="BG68" s="818"/>
      <c r="BH68" s="818"/>
      <c r="BI68" s="818"/>
      <c r="BJ68" s="818"/>
      <c r="BK68" s="818"/>
      <c r="BL68" s="818"/>
    </row>
    <row r="69" spans="1:64" ht="16.5" hidden="1" customHeight="1">
      <c r="A69" s="1248"/>
      <c r="B69" s="1358"/>
      <c r="C69" s="634">
        <f t="shared" ref="C69:I69" si="5">SUM(C60:C68)</f>
        <v>0</v>
      </c>
      <c r="D69" s="634">
        <f t="shared" si="5"/>
        <v>0</v>
      </c>
      <c r="E69" s="634">
        <f t="shared" si="5"/>
        <v>0</v>
      </c>
      <c r="F69" s="634">
        <f t="shared" si="5"/>
        <v>0</v>
      </c>
      <c r="G69" s="634">
        <f t="shared" si="5"/>
        <v>0</v>
      </c>
      <c r="H69" s="634">
        <f t="shared" si="5"/>
        <v>0</v>
      </c>
      <c r="I69" s="635">
        <f t="shared" si="5"/>
        <v>0</v>
      </c>
      <c r="L69" s="818"/>
      <c r="M69" s="818"/>
      <c r="N69" s="818"/>
      <c r="O69" s="818"/>
      <c r="P69" s="818"/>
      <c r="Q69" s="818"/>
      <c r="R69" s="818"/>
      <c r="S69" s="818"/>
      <c r="T69" s="818"/>
      <c r="U69" s="818"/>
      <c r="V69" s="818"/>
      <c r="W69" s="818"/>
      <c r="X69" s="818"/>
      <c r="Y69" s="818"/>
      <c r="Z69" s="818"/>
      <c r="AA69" s="818"/>
      <c r="AB69" s="818"/>
      <c r="AC69" s="818"/>
      <c r="AD69" s="818"/>
      <c r="AE69" s="818"/>
      <c r="AF69" s="818"/>
      <c r="AG69" s="818"/>
      <c r="AH69" s="818"/>
      <c r="AI69" s="818"/>
      <c r="AJ69" s="818"/>
      <c r="AK69" s="818"/>
      <c r="AL69" s="818"/>
      <c r="AM69" s="818"/>
      <c r="AN69" s="818"/>
      <c r="AO69" s="818"/>
      <c r="AP69" s="818"/>
      <c r="AQ69" s="818"/>
      <c r="AR69" s="818"/>
      <c r="AS69" s="818"/>
      <c r="AT69" s="818"/>
      <c r="AU69" s="818"/>
      <c r="AV69" s="818"/>
      <c r="AW69" s="818"/>
      <c r="AX69" s="818"/>
      <c r="AY69" s="818"/>
      <c r="AZ69" s="818"/>
      <c r="BA69" s="818"/>
      <c r="BB69" s="818"/>
      <c r="BC69" s="818"/>
      <c r="BD69" s="818"/>
      <c r="BE69" s="818"/>
      <c r="BF69" s="818"/>
      <c r="BG69" s="818"/>
      <c r="BH69" s="818"/>
      <c r="BI69" s="818"/>
      <c r="BJ69" s="818"/>
      <c r="BK69" s="818"/>
      <c r="BL69" s="818"/>
    </row>
    <row r="70" spans="1:64">
      <c r="A70" s="1359" t="s">
        <v>208</v>
      </c>
      <c r="B70" s="1360">
        <f>SUM(C70:I70)</f>
        <v>0</v>
      </c>
      <c r="C70" s="1031">
        <f t="shared" ref="C70:I70" si="6">SUM(C55:C68)</f>
        <v>0</v>
      </c>
      <c r="D70" s="1031">
        <f t="shared" si="6"/>
        <v>0</v>
      </c>
      <c r="E70" s="1031">
        <f t="shared" si="6"/>
        <v>0</v>
      </c>
      <c r="F70" s="1031">
        <f t="shared" si="6"/>
        <v>0</v>
      </c>
      <c r="G70" s="1031">
        <f t="shared" si="6"/>
        <v>0</v>
      </c>
      <c r="H70" s="1031">
        <f t="shared" si="6"/>
        <v>0</v>
      </c>
      <c r="I70" s="1032">
        <f t="shared" si="6"/>
        <v>0</v>
      </c>
      <c r="L70" s="818"/>
      <c r="M70" s="818"/>
      <c r="N70" s="818"/>
      <c r="O70" s="818"/>
      <c r="P70" s="818"/>
      <c r="Q70" s="818"/>
      <c r="R70" s="818"/>
      <c r="S70" s="818"/>
      <c r="T70" s="818"/>
      <c r="U70" s="818"/>
      <c r="V70" s="818"/>
      <c r="W70" s="818"/>
      <c r="X70" s="818"/>
      <c r="Y70" s="818"/>
      <c r="Z70" s="818"/>
      <c r="AA70" s="818"/>
      <c r="AB70" s="818"/>
      <c r="AC70" s="818"/>
      <c r="AD70" s="818"/>
      <c r="AE70" s="818"/>
      <c r="AF70" s="818"/>
      <c r="AG70" s="818"/>
      <c r="AH70" s="818"/>
      <c r="AI70" s="818"/>
      <c r="AJ70" s="818"/>
      <c r="AK70" s="818"/>
      <c r="AL70" s="818"/>
      <c r="AM70" s="818"/>
      <c r="AN70" s="818"/>
      <c r="AO70" s="818"/>
      <c r="AP70" s="818"/>
      <c r="AQ70" s="818"/>
      <c r="AR70" s="818"/>
      <c r="AS70" s="818"/>
      <c r="AT70" s="818"/>
      <c r="AU70" s="818"/>
      <c r="AV70" s="818"/>
      <c r="AW70" s="818"/>
      <c r="AX70" s="818"/>
      <c r="AY70" s="818"/>
      <c r="AZ70" s="818"/>
      <c r="BA70" s="818"/>
      <c r="BB70" s="818"/>
      <c r="BC70" s="818"/>
      <c r="BD70" s="818"/>
      <c r="BE70" s="818"/>
      <c r="BF70" s="818"/>
      <c r="BG70" s="818"/>
      <c r="BH70" s="818"/>
      <c r="BI70" s="818"/>
      <c r="BJ70" s="818"/>
      <c r="BK70" s="818"/>
      <c r="BL70" s="818"/>
    </row>
    <row r="71" spans="1:64" ht="16.5" hidden="1" customHeight="1">
      <c r="A71" s="1341"/>
      <c r="B71" s="522"/>
      <c r="C71" s="507">
        <f>IF(AND(EingabenÄnderungen!C160&gt;0,EingabenÄnderungen!C163=EingabenÄnderungen!C160),0,EingabenÄnderungen!C201)</f>
        <v>0</v>
      </c>
      <c r="D71" s="507">
        <f>IF(AND(EingabenÄnderungen!D160&gt;0,EingabenÄnderungen!D163=EingabenÄnderungen!D160),0,EingabenÄnderungen!D201)</f>
        <v>0</v>
      </c>
      <c r="E71" s="507">
        <f>IF(AND(EingabenÄnderungen!E160&gt;0,EingabenÄnderungen!E163=EingabenÄnderungen!E160),0,EingabenÄnderungen!E201)</f>
        <v>0</v>
      </c>
      <c r="F71" s="507">
        <f>IF(AND(EingabenÄnderungen!F160&gt;0,EingabenÄnderungen!F163=EingabenÄnderungen!F160),0,EingabenÄnderungen!F201)</f>
        <v>0</v>
      </c>
      <c r="G71" s="507">
        <f>IF(AND(EingabenÄnderungen!G160&gt;0,EingabenÄnderungen!G163=EingabenÄnderungen!G160),0,EingabenÄnderungen!G201)</f>
        <v>0</v>
      </c>
      <c r="H71" s="507">
        <f>IF(AND(EingabenÄnderungen!H160&gt;0,EingabenÄnderungen!H163=EingabenÄnderungen!H160),0,EingabenÄnderungen!H201)</f>
        <v>0</v>
      </c>
      <c r="I71" s="508">
        <f>IF(AND(EingabenÄnderungen!I160&gt;0,EingabenÄnderungen!I163=EingabenÄnderungen!I160),0,EingabenÄnderungen!I201)</f>
        <v>0</v>
      </c>
      <c r="L71" s="818"/>
      <c r="M71" s="818"/>
      <c r="N71" s="818"/>
      <c r="O71" s="818"/>
      <c r="P71" s="818"/>
      <c r="Q71" s="818"/>
      <c r="R71" s="818"/>
      <c r="S71" s="818"/>
      <c r="T71" s="818"/>
      <c r="U71" s="818"/>
      <c r="V71" s="818"/>
      <c r="W71" s="818"/>
      <c r="X71" s="818"/>
      <c r="Y71" s="818"/>
      <c r="Z71" s="818"/>
      <c r="AA71" s="818"/>
      <c r="AB71" s="818"/>
      <c r="AC71" s="818"/>
      <c r="AD71" s="818"/>
      <c r="AE71" s="818"/>
      <c r="AF71" s="818"/>
      <c r="AG71" s="818"/>
      <c r="AH71" s="818"/>
      <c r="AI71" s="818"/>
      <c r="AJ71" s="818"/>
      <c r="AK71" s="818"/>
      <c r="AL71" s="818"/>
      <c r="AM71" s="818"/>
      <c r="AN71" s="818"/>
      <c r="AO71" s="818"/>
      <c r="AP71" s="818"/>
      <c r="AQ71" s="818"/>
      <c r="AR71" s="818"/>
      <c r="AS71" s="818"/>
      <c r="AT71" s="818"/>
      <c r="AU71" s="818"/>
      <c r="AV71" s="818"/>
      <c r="AW71" s="818"/>
      <c r="AX71" s="818"/>
      <c r="AY71" s="818"/>
      <c r="AZ71" s="818"/>
      <c r="BA71" s="818"/>
      <c r="BB71" s="818"/>
      <c r="BC71" s="818"/>
      <c r="BD71" s="818"/>
      <c r="BE71" s="818"/>
      <c r="BF71" s="818"/>
      <c r="BG71" s="818"/>
      <c r="BH71" s="818"/>
      <c r="BI71" s="818"/>
      <c r="BJ71" s="818"/>
      <c r="BK71" s="818"/>
      <c r="BL71" s="818"/>
    </row>
    <row r="72" spans="1:64" ht="16.5" hidden="1" customHeight="1">
      <c r="A72" s="1341"/>
      <c r="B72" s="522"/>
      <c r="C72" s="507">
        <f>IF(AND(EingabenÄnderungen!C212&gt;C113,C78&lt;0),C71+C78,C71)</f>
        <v>0</v>
      </c>
      <c r="D72" s="507">
        <f>IF(AND(EingabenÄnderungen!D212&gt;D113,D78&lt;0),D71+D78,D71)</f>
        <v>0</v>
      </c>
      <c r="E72" s="507">
        <f>IF(AND(EingabenÄnderungen!E212&gt;E113,E78&lt;0),E71+E78,E71)</f>
        <v>0</v>
      </c>
      <c r="F72" s="507">
        <f>IF(AND(EingabenÄnderungen!F212&gt;F113,F78&lt;0),F71+F78,F71)</f>
        <v>0</v>
      </c>
      <c r="G72" s="507">
        <f>IF(AND(EingabenÄnderungen!G212&gt;G113,G78&lt;0),G71+G78,G71)</f>
        <v>0</v>
      </c>
      <c r="H72" s="507">
        <f>IF(AND(EingabenÄnderungen!H212&gt;H113,H78&lt;0),H71+H78,H71)</f>
        <v>0</v>
      </c>
      <c r="I72" s="508">
        <f>IF(AND(EingabenÄnderungen!I212&gt;I113,I78&lt;0),I71+I78,I71)</f>
        <v>0</v>
      </c>
      <c r="L72" s="818"/>
      <c r="M72" s="818"/>
      <c r="N72" s="818"/>
      <c r="O72" s="818"/>
      <c r="P72" s="818"/>
      <c r="Q72" s="818"/>
      <c r="R72" s="818"/>
      <c r="S72" s="818"/>
      <c r="T72" s="818"/>
      <c r="U72" s="818"/>
      <c r="V72" s="818"/>
      <c r="W72" s="818"/>
      <c r="X72" s="818"/>
      <c r="Y72" s="818"/>
      <c r="Z72" s="818"/>
      <c r="AA72" s="818"/>
      <c r="AB72" s="818"/>
      <c r="AC72" s="818"/>
      <c r="AD72" s="818"/>
      <c r="AE72" s="818"/>
      <c r="AF72" s="818"/>
      <c r="AG72" s="818"/>
      <c r="AH72" s="818"/>
      <c r="AI72" s="818"/>
      <c r="AJ72" s="818"/>
      <c r="AK72" s="818"/>
      <c r="AL72" s="818"/>
      <c r="AM72" s="818"/>
      <c r="AN72" s="818"/>
      <c r="AO72" s="818"/>
      <c r="AP72" s="818"/>
      <c r="AQ72" s="818"/>
      <c r="AR72" s="818"/>
      <c r="AS72" s="818"/>
      <c r="AT72" s="818"/>
      <c r="AU72" s="818"/>
      <c r="AV72" s="818"/>
      <c r="AW72" s="818"/>
      <c r="AX72" s="818"/>
      <c r="AY72" s="818"/>
      <c r="AZ72" s="818"/>
      <c r="BA72" s="818"/>
      <c r="BB72" s="818"/>
      <c r="BC72" s="818"/>
      <c r="BD72" s="818"/>
      <c r="BE72" s="818"/>
      <c r="BF72" s="818"/>
      <c r="BG72" s="818"/>
      <c r="BH72" s="818"/>
      <c r="BI72" s="818"/>
      <c r="BJ72" s="818"/>
      <c r="BK72" s="818"/>
      <c r="BL72" s="818"/>
    </row>
    <row r="73" spans="1:64" ht="16.5" hidden="1" customHeight="1">
      <c r="A73" s="1341"/>
      <c r="B73" s="522"/>
      <c r="C73" s="507">
        <f>IF(AND(C113&gt;0,EingabenÄnderungen!C212&lt;C113),0,C72)</f>
        <v>0</v>
      </c>
      <c r="D73" s="507">
        <f>IF(AND(D113&gt;0,EingabenÄnderungen!D212&lt;D113),0,D72)</f>
        <v>0</v>
      </c>
      <c r="E73" s="507">
        <f>IF(AND(E113&gt;0,EingabenÄnderungen!E212&lt;E113),0,E72)</f>
        <v>0</v>
      </c>
      <c r="F73" s="507">
        <f>IF(AND(F113&gt;0,EingabenÄnderungen!F212&lt;F113),0,F72)</f>
        <v>0</v>
      </c>
      <c r="G73" s="507">
        <f>IF(AND(G113&gt;0,EingabenÄnderungen!G212&lt;G113),0,G72)</f>
        <v>0</v>
      </c>
      <c r="H73" s="507">
        <f>IF(AND(H113&gt;0,EingabenÄnderungen!H212&lt;H113),0,H72)</f>
        <v>0</v>
      </c>
      <c r="I73" s="508">
        <f>IF(AND(I113&gt;0,EingabenÄnderungen!I212&lt;I113),0,I72)</f>
        <v>0</v>
      </c>
      <c r="L73" s="818"/>
      <c r="M73" s="818"/>
      <c r="N73" s="818"/>
      <c r="O73" s="818"/>
      <c r="P73" s="818"/>
      <c r="Q73" s="818"/>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18"/>
      <c r="BA73" s="818"/>
      <c r="BB73" s="818"/>
      <c r="BC73" s="818"/>
      <c r="BD73" s="818"/>
      <c r="BE73" s="818"/>
      <c r="BF73" s="818"/>
      <c r="BG73" s="818"/>
      <c r="BH73" s="818"/>
      <c r="BI73" s="818"/>
      <c r="BJ73" s="818"/>
      <c r="BK73" s="818"/>
      <c r="BL73" s="818"/>
    </row>
    <row r="74" spans="1:64" ht="16.5" hidden="1" customHeight="1">
      <c r="A74" s="1341"/>
      <c r="B74" s="522"/>
      <c r="C74" s="507">
        <f>IF(C113=0,EingabenÄnderungen!C201,0)</f>
        <v>0</v>
      </c>
      <c r="D74" s="507">
        <f>IF(D113=0,EingabenÄnderungen!D201,0)</f>
        <v>0</v>
      </c>
      <c r="E74" s="507">
        <f>IF(E113=0,EingabenÄnderungen!E201,0)</f>
        <v>0</v>
      </c>
      <c r="F74" s="507">
        <f>IF(F113=0,EingabenÄnderungen!F201,0)</f>
        <v>0</v>
      </c>
      <c r="G74" s="507">
        <f>IF(G113=0,EingabenÄnderungen!G201,0)</f>
        <v>0</v>
      </c>
      <c r="H74" s="507">
        <f>IF(H113=0,EingabenÄnderungen!H201,0)</f>
        <v>0</v>
      </c>
      <c r="I74" s="508">
        <f>IF(I113=0,EingabenÄnderungen!I201,0)</f>
        <v>0</v>
      </c>
      <c r="L74" s="818"/>
      <c r="M74" s="818"/>
      <c r="N74" s="818"/>
      <c r="O74" s="818"/>
      <c r="P74" s="818"/>
      <c r="Q74" s="818"/>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818"/>
      <c r="AQ74" s="818"/>
      <c r="AR74" s="818"/>
      <c r="AS74" s="818"/>
      <c r="AT74" s="818"/>
      <c r="AU74" s="818"/>
      <c r="AV74" s="818"/>
      <c r="AW74" s="818"/>
      <c r="AX74" s="818"/>
      <c r="AY74" s="818"/>
      <c r="AZ74" s="818"/>
      <c r="BA74" s="818"/>
      <c r="BB74" s="818"/>
      <c r="BC74" s="818"/>
      <c r="BD74" s="818"/>
      <c r="BE74" s="818"/>
      <c r="BF74" s="818"/>
      <c r="BG74" s="818"/>
      <c r="BH74" s="818"/>
      <c r="BI74" s="818"/>
      <c r="BJ74" s="818"/>
      <c r="BK74" s="818"/>
      <c r="BL74" s="818"/>
    </row>
    <row r="75" spans="1:64" ht="16.5" hidden="1" customHeight="1">
      <c r="A75" s="1341"/>
      <c r="B75" s="1361"/>
      <c r="C75" s="634">
        <f t="shared" ref="C75:I75" si="7">IF(C74=30,C74,C73)</f>
        <v>0</v>
      </c>
      <c r="D75" s="634">
        <f t="shared" si="7"/>
        <v>0</v>
      </c>
      <c r="E75" s="634">
        <f t="shared" si="7"/>
        <v>0</v>
      </c>
      <c r="F75" s="634">
        <f t="shared" si="7"/>
        <v>0</v>
      </c>
      <c r="G75" s="634">
        <f t="shared" si="7"/>
        <v>0</v>
      </c>
      <c r="H75" s="634">
        <f t="shared" si="7"/>
        <v>0</v>
      </c>
      <c r="I75" s="635">
        <f t="shared" si="7"/>
        <v>0</v>
      </c>
      <c r="L75" s="818"/>
      <c r="M75" s="818"/>
      <c r="N75" s="818"/>
      <c r="O75" s="818"/>
      <c r="P75" s="818"/>
      <c r="Q75" s="818"/>
      <c r="R75" s="818"/>
      <c r="S75" s="818"/>
      <c r="T75" s="818"/>
      <c r="U75" s="818"/>
      <c r="V75" s="818"/>
      <c r="W75" s="818"/>
      <c r="X75" s="818"/>
      <c r="Y75" s="818"/>
      <c r="Z75" s="818"/>
      <c r="AA75" s="818"/>
      <c r="AB75" s="818"/>
      <c r="AC75" s="818"/>
      <c r="AD75" s="818"/>
      <c r="AE75" s="818"/>
      <c r="AF75" s="818"/>
      <c r="AG75" s="818"/>
      <c r="AH75" s="818"/>
      <c r="AI75" s="818"/>
      <c r="AJ75" s="818"/>
      <c r="AK75" s="818"/>
      <c r="AL75" s="818"/>
      <c r="AM75" s="818"/>
      <c r="AN75" s="818"/>
      <c r="AO75" s="818"/>
      <c r="AP75" s="818"/>
      <c r="AQ75" s="818"/>
      <c r="AR75" s="818"/>
      <c r="AS75" s="818"/>
      <c r="AT75" s="818"/>
      <c r="AU75" s="818"/>
      <c r="AV75" s="818"/>
      <c r="AW75" s="818"/>
      <c r="AX75" s="818"/>
      <c r="AY75" s="818"/>
      <c r="AZ75" s="818"/>
      <c r="BA75" s="818"/>
      <c r="BB75" s="818"/>
      <c r="BC75" s="818"/>
      <c r="BD75" s="818"/>
      <c r="BE75" s="818"/>
      <c r="BF75" s="818"/>
      <c r="BG75" s="818"/>
      <c r="BH75" s="818"/>
      <c r="BI75" s="818"/>
      <c r="BJ75" s="818"/>
      <c r="BK75" s="818"/>
      <c r="BL75" s="818"/>
    </row>
    <row r="76" spans="1:64">
      <c r="A76" s="1362">
        <f>IF(B76&gt;0,"./. Versicherungspauschale",0)</f>
        <v>0</v>
      </c>
      <c r="B76" s="1331">
        <f>SUM(C76:I76)</f>
        <v>0</v>
      </c>
      <c r="C76" s="1363">
        <f>IF(C70=0,0,IF(C75&lt;0,0,IF(AND(C114&gt;0,C54&lt;=400),0,IF(AND(C114&gt;0,EingabenÄnderungen!C141=0),0,IF(AND(C120=EingabenÄnderungen!C187,C61&gt;0,EingabenÄnderungen!C187&gt;0),0,C75)))))</f>
        <v>0</v>
      </c>
      <c r="D76" s="1363">
        <f>IF(D70=0,0,IF(D75&lt;0,0,IF(AND(D114&gt;0,D54&lt;=400),0,IF(AND(D114&gt;0,EingabenÄnderungen!D141=0),0,IF(AND(D120=EingabenÄnderungen!D187,D61&gt;0,EingabenÄnderungen!D187&gt;0),0,D75)))))</f>
        <v>0</v>
      </c>
      <c r="E76" s="1363">
        <f>IF(E70=0,0,IF(E75&lt;0,0,IF(AND(E114&gt;0,E54&lt;=400),0,IF(AND(E114&gt;0,EingabenÄnderungen!E141=0),0,IF(AND(E120=EingabenÄnderungen!E187,E61&gt;0,EingabenÄnderungen!E187&gt;0),0,E75)))))</f>
        <v>0</v>
      </c>
      <c r="F76" s="1363">
        <f>IF(F70=0,0,IF(F75&lt;0,0,IF(AND(F114&gt;0,F54&lt;=400),0,IF(AND(F114&gt;0,EingabenÄnderungen!F141=0),0,IF(AND(F120=EingabenÄnderungen!F187,F61&gt;0,EingabenÄnderungen!F187&gt;0),0,F75)))))</f>
        <v>0</v>
      </c>
      <c r="G76" s="1363">
        <f>IF(G70=0,0,IF(G75&lt;0,0,IF(AND(G114&gt;0,G54&lt;=400),0,IF(AND(G114&gt;0,EingabenÄnderungen!G141=0),0,IF(AND(G120=EingabenÄnderungen!G187,G61&gt;0,EingabenÄnderungen!G187&gt;0),0,G75)))))</f>
        <v>0</v>
      </c>
      <c r="H76" s="1363">
        <f>IF(H70=0,0,IF(H75&lt;0,0,IF(AND(H114&gt;0,H54&lt;=400),0,IF(AND(H114&gt;0,EingabenÄnderungen!H141=0),0,IF(AND(H120=EingabenÄnderungen!H187,H61&gt;0,EingabenÄnderungen!H187&gt;0),0,H75)))))</f>
        <v>0</v>
      </c>
      <c r="I76" s="1364">
        <f>IF(I70=0,0,IF(I75&lt;0,0,IF(AND(I114&gt;0,I54&lt;=400),0,IF(AND(I114&gt;0,EingabenÄnderungen!I141=0),0,IF(AND(I120=EingabenÄnderungen!I187,I61&gt;0,EingabenÄnderungen!I187&gt;0),0,I75)))))</f>
        <v>0</v>
      </c>
      <c r="L76" s="818"/>
      <c r="M76" s="818"/>
      <c r="N76" s="818"/>
      <c r="O76" s="818"/>
      <c r="P76" s="818"/>
      <c r="Q76" s="818"/>
      <c r="R76" s="818"/>
      <c r="S76" s="818"/>
      <c r="T76" s="818"/>
      <c r="U76" s="818"/>
      <c r="V76" s="818"/>
      <c r="W76" s="818"/>
      <c r="X76" s="818"/>
      <c r="Y76" s="818"/>
      <c r="Z76" s="818"/>
      <c r="AA76" s="818"/>
      <c r="AB76" s="818"/>
      <c r="AC76" s="818"/>
      <c r="AD76" s="818"/>
      <c r="AE76" s="818"/>
      <c r="AF76" s="818"/>
      <c r="AG76" s="818"/>
      <c r="AH76" s="818"/>
      <c r="AI76" s="818"/>
      <c r="AJ76" s="818"/>
      <c r="AK76" s="818"/>
      <c r="AL76" s="818"/>
      <c r="AM76" s="818"/>
      <c r="AN76" s="818"/>
      <c r="AO76" s="818"/>
      <c r="AP76" s="818"/>
      <c r="AQ76" s="818"/>
      <c r="AR76" s="818"/>
      <c r="AS76" s="818"/>
      <c r="AT76" s="818"/>
      <c r="AU76" s="818"/>
      <c r="AV76" s="818"/>
      <c r="AW76" s="818"/>
      <c r="AX76" s="818"/>
      <c r="AY76" s="818"/>
      <c r="AZ76" s="818"/>
      <c r="BA76" s="818"/>
      <c r="BB76" s="818"/>
      <c r="BC76" s="818"/>
      <c r="BD76" s="818"/>
      <c r="BE76" s="818"/>
      <c r="BF76" s="818"/>
      <c r="BG76" s="818"/>
      <c r="BH76" s="818"/>
      <c r="BI76" s="818"/>
      <c r="BJ76" s="818"/>
      <c r="BK76" s="818"/>
      <c r="BL76" s="818"/>
    </row>
    <row r="77" spans="1:64" ht="16.5" hidden="1" customHeight="1">
      <c r="A77" s="1341"/>
      <c r="B77" s="522"/>
      <c r="C77" s="507">
        <f>IF(AND(EingabenÄnderungen!C160&gt;0,EingabenÄnderungen!C163=EingabenÄnderungen!C160),0,EingabenÄnderungen!C202-EingabenÄnderungen!C160)</f>
        <v>0</v>
      </c>
      <c r="D77" s="507">
        <f>IF(AND(EingabenÄnderungen!D160&gt;0,EingabenÄnderungen!D163=EingabenÄnderungen!D160),0,EingabenÄnderungen!D202-EingabenÄnderungen!D160)</f>
        <v>0</v>
      </c>
      <c r="E77" s="507">
        <f>IF(AND(EingabenÄnderungen!E160&gt;0,EingabenÄnderungen!E163=EingabenÄnderungen!E160),0,EingabenÄnderungen!E202-EingabenÄnderungen!E160)</f>
        <v>0</v>
      </c>
      <c r="F77" s="507">
        <f>IF(AND(EingabenÄnderungen!F160&gt;0,EingabenÄnderungen!F163=EingabenÄnderungen!F160),0,EingabenÄnderungen!F202-EingabenÄnderungen!F160)</f>
        <v>0</v>
      </c>
      <c r="G77" s="507">
        <f>IF(AND(EingabenÄnderungen!G160&gt;0,EingabenÄnderungen!G163=EingabenÄnderungen!G160),0,EingabenÄnderungen!G202-EingabenÄnderungen!G160)</f>
        <v>0</v>
      </c>
      <c r="H77" s="507">
        <f>IF(AND(EingabenÄnderungen!H160&gt;0,EingabenÄnderungen!H163=EingabenÄnderungen!H160),0,EingabenÄnderungen!H202-EingabenÄnderungen!H160)</f>
        <v>0</v>
      </c>
      <c r="I77" s="508">
        <f>IF(AND(EingabenÄnderungen!I160&gt;0,EingabenÄnderungen!I163=EingabenÄnderungen!I160),0,EingabenÄnderungen!I202-EingabenÄnderungen!I160)</f>
        <v>0</v>
      </c>
      <c r="L77" s="818"/>
      <c r="M77" s="818"/>
      <c r="N77" s="818"/>
      <c r="O77" s="818"/>
      <c r="P77" s="818"/>
      <c r="Q77" s="818"/>
      <c r="R77" s="818"/>
      <c r="S77" s="818"/>
      <c r="T77" s="818"/>
      <c r="U77" s="818"/>
      <c r="V77" s="818"/>
      <c r="W77" s="818"/>
      <c r="X77" s="818"/>
      <c r="Y77" s="818"/>
      <c r="Z77" s="818"/>
      <c r="AA77" s="818"/>
      <c r="AB77" s="818"/>
      <c r="AC77" s="818"/>
      <c r="AD77" s="818"/>
      <c r="AE77" s="818"/>
      <c r="AF77" s="818"/>
      <c r="AG77" s="818"/>
      <c r="AH77" s="818"/>
      <c r="AI77" s="818"/>
      <c r="AJ77" s="818"/>
      <c r="AK77" s="818"/>
      <c r="AL77" s="818"/>
      <c r="AM77" s="818"/>
      <c r="AN77" s="818"/>
      <c r="AO77" s="818"/>
      <c r="AP77" s="818"/>
      <c r="AQ77" s="818"/>
      <c r="AR77" s="818"/>
      <c r="AS77" s="818"/>
      <c r="AT77" s="818"/>
      <c r="AU77" s="818"/>
      <c r="AV77" s="818"/>
      <c r="AW77" s="818"/>
      <c r="AX77" s="818"/>
      <c r="AY77" s="818"/>
      <c r="AZ77" s="818"/>
      <c r="BA77" s="818"/>
      <c r="BB77" s="818"/>
      <c r="BC77" s="818"/>
      <c r="BD77" s="818"/>
      <c r="BE77" s="818"/>
      <c r="BF77" s="818"/>
      <c r="BG77" s="818"/>
      <c r="BH77" s="818"/>
      <c r="BI77" s="818"/>
      <c r="BJ77" s="818"/>
      <c r="BK77" s="818"/>
      <c r="BL77" s="818"/>
    </row>
    <row r="78" spans="1:64" ht="16.5" hidden="1" customHeight="1">
      <c r="A78" s="1341"/>
      <c r="B78" s="522"/>
      <c r="C78" s="507">
        <f>IF(AND(C71&gt;0,C77&gt;EingabenÄnderungen!C202),EingabenÄnderungen!C202,C77)</f>
        <v>0</v>
      </c>
      <c r="D78" s="507">
        <f>IF(AND(D71&gt;0,D77&gt;EingabenÄnderungen!D202),EingabenÄnderungen!D202,D77)</f>
        <v>0</v>
      </c>
      <c r="E78" s="507">
        <f>IF(AND(E71&gt;0,E77&gt;EingabenÄnderungen!E202),EingabenÄnderungen!E202,E77)</f>
        <v>0</v>
      </c>
      <c r="F78" s="507">
        <f>IF(AND(F71&gt;0,F77&gt;EingabenÄnderungen!F202),EingabenÄnderungen!F202,F77)</f>
        <v>0</v>
      </c>
      <c r="G78" s="507">
        <f>IF(AND(G71&gt;0,G77&gt;EingabenÄnderungen!G202),EingabenÄnderungen!G202,G77)</f>
        <v>0</v>
      </c>
      <c r="H78" s="507">
        <f>IF(AND(H71&gt;0,H77&gt;EingabenÄnderungen!H202),EingabenÄnderungen!H202,H77)</f>
        <v>0</v>
      </c>
      <c r="I78" s="508">
        <f>IF(AND(I71&gt;0,I77&gt;EingabenÄnderungen!I202),EingabenÄnderungen!I202,I77)</f>
        <v>0</v>
      </c>
      <c r="L78" s="818"/>
      <c r="M78" s="818"/>
      <c r="N78" s="818"/>
      <c r="O78" s="818"/>
      <c r="P78" s="818"/>
      <c r="Q78" s="818"/>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18"/>
      <c r="BA78" s="818"/>
      <c r="BB78" s="818"/>
      <c r="BC78" s="818"/>
      <c r="BD78" s="818"/>
      <c r="BE78" s="818"/>
      <c r="BF78" s="818"/>
      <c r="BG78" s="818"/>
      <c r="BH78" s="818"/>
      <c r="BI78" s="818"/>
      <c r="BJ78" s="818"/>
      <c r="BK78" s="818"/>
      <c r="BL78" s="818"/>
    </row>
    <row r="79" spans="1:64" ht="16.5" hidden="1" customHeight="1">
      <c r="A79" s="1341"/>
      <c r="B79" s="522"/>
      <c r="C79" s="507">
        <f>IF(C113=0,EingabenÄnderungen!C202,0)</f>
        <v>0</v>
      </c>
      <c r="D79" s="507">
        <f>IF(D113=0,EingabenÄnderungen!D202,0)</f>
        <v>0</v>
      </c>
      <c r="E79" s="507">
        <f>IF(E113=0,EingabenÄnderungen!E202,0)</f>
        <v>0</v>
      </c>
      <c r="F79" s="507">
        <f>IF(F113=0,EingabenÄnderungen!F202,0)</f>
        <v>0</v>
      </c>
      <c r="G79" s="507">
        <f>IF(G113=0,EingabenÄnderungen!G202,0)</f>
        <v>0</v>
      </c>
      <c r="H79" s="507">
        <f>IF(H113=0,EingabenÄnderungen!H202,0)</f>
        <v>0</v>
      </c>
      <c r="I79" s="508">
        <f>IF(I113=0,EingabenÄnderungen!I202,0)</f>
        <v>0</v>
      </c>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18"/>
      <c r="BA79" s="818"/>
      <c r="BB79" s="818"/>
      <c r="BC79" s="818"/>
      <c r="BD79" s="818"/>
      <c r="BE79" s="818"/>
      <c r="BF79" s="818"/>
      <c r="BG79" s="818"/>
      <c r="BH79" s="818"/>
      <c r="BI79" s="818"/>
      <c r="BJ79" s="818"/>
      <c r="BK79" s="818"/>
      <c r="BL79" s="818"/>
    </row>
    <row r="80" spans="1:64" ht="16.5" hidden="1" customHeight="1">
      <c r="A80" s="1341"/>
      <c r="B80" s="522"/>
      <c r="C80" s="507">
        <f>IF(C79=EingabenÄnderungen!C202,C79,C78)</f>
        <v>0</v>
      </c>
      <c r="D80" s="507">
        <f>IF(D79=EingabenÄnderungen!D202,D79,D78)</f>
        <v>0</v>
      </c>
      <c r="E80" s="507">
        <f>IF(E79=EingabenÄnderungen!E202,E79,E78)</f>
        <v>0</v>
      </c>
      <c r="F80" s="507">
        <f>IF(F79=EingabenÄnderungen!F202,F79,F78)</f>
        <v>0</v>
      </c>
      <c r="G80" s="507">
        <f>IF(G79=EingabenÄnderungen!G202,G79,G78)</f>
        <v>0</v>
      </c>
      <c r="H80" s="507">
        <f>IF(H79=EingabenÄnderungen!H202,H79,H78)</f>
        <v>0</v>
      </c>
      <c r="I80" s="508">
        <f>IF(I79=EingabenÄnderungen!I202,I79,I78)</f>
        <v>0</v>
      </c>
      <c r="L80" s="818"/>
      <c r="M80" s="818"/>
      <c r="N80" s="818"/>
      <c r="O80" s="818"/>
      <c r="P80" s="818"/>
      <c r="Q80" s="818"/>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18"/>
      <c r="BA80" s="818"/>
      <c r="BB80" s="818"/>
      <c r="BC80" s="818"/>
      <c r="BD80" s="818"/>
      <c r="BE80" s="818"/>
      <c r="BF80" s="818"/>
      <c r="BG80" s="818"/>
      <c r="BH80" s="818"/>
      <c r="BI80" s="818"/>
      <c r="BJ80" s="818"/>
      <c r="BK80" s="818"/>
      <c r="BL80" s="818"/>
    </row>
    <row r="81" spans="1:64" ht="16.5" hidden="1" customHeight="1">
      <c r="A81" s="1341"/>
      <c r="B81" s="522"/>
      <c r="C81" s="1016">
        <f t="shared" ref="C81:I81" si="8">IF(OR(C80&lt;0,C70=0),0,C80)</f>
        <v>0</v>
      </c>
      <c r="D81" s="1016">
        <f t="shared" si="8"/>
        <v>0</v>
      </c>
      <c r="E81" s="1016">
        <f t="shared" si="8"/>
        <v>0</v>
      </c>
      <c r="F81" s="1016">
        <f t="shared" si="8"/>
        <v>0</v>
      </c>
      <c r="G81" s="1016">
        <f t="shared" si="8"/>
        <v>0</v>
      </c>
      <c r="H81" s="1016">
        <f t="shared" si="8"/>
        <v>0</v>
      </c>
      <c r="I81" s="1017">
        <f t="shared" si="8"/>
        <v>0</v>
      </c>
      <c r="L81" s="818"/>
      <c r="M81" s="818"/>
      <c r="N81" s="818"/>
      <c r="O81" s="818"/>
      <c r="P81" s="818"/>
      <c r="Q81" s="818"/>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18"/>
      <c r="BA81" s="818"/>
      <c r="BB81" s="818"/>
      <c r="BC81" s="818"/>
      <c r="BD81" s="818"/>
      <c r="BE81" s="818"/>
      <c r="BF81" s="818"/>
      <c r="BG81" s="818"/>
      <c r="BH81" s="818"/>
      <c r="BI81" s="818"/>
      <c r="BJ81" s="818"/>
      <c r="BK81" s="818"/>
      <c r="BL81" s="818"/>
    </row>
    <row r="82" spans="1:64">
      <c r="A82" s="976">
        <f>IF(B82&gt;0,"./. Kfz-Haftpflichtversicherung",0)</f>
        <v>0</v>
      </c>
      <c r="B82" s="1335">
        <f>SUM(C82:I82)</f>
        <v>0</v>
      </c>
      <c r="C82" s="1016">
        <f>IF(AND(C114&gt;0,C54&lt;=400),0,IF(AND(C114&gt;0,EingabenÄnderungen!C141=0),0,IF(AND(C120=EingabenÄnderungen!C187,C61&gt;0,EingabenÄnderungen!C187&gt;0),0,C81)))</f>
        <v>0</v>
      </c>
      <c r="D82" s="1016">
        <f>IF(AND(D114&gt;0,D54&lt;=400),0,IF(AND(D114&gt;0,EingabenÄnderungen!D141=0),0,IF(AND(D120=EingabenÄnderungen!D187,D61&gt;0,EingabenÄnderungen!D187&gt;0),0,D81)))</f>
        <v>0</v>
      </c>
      <c r="E82" s="1016">
        <f>IF(AND(E114&gt;0,E54&lt;=400),0,IF(AND(E114&gt;0,EingabenÄnderungen!E141=0),0,IF(AND(E120=EingabenÄnderungen!E187,E61&gt;0,EingabenÄnderungen!E187&gt;0),0,E81)))</f>
        <v>0</v>
      </c>
      <c r="F82" s="1016">
        <f>IF(AND(F114&gt;0,F54&lt;=400),0,IF(AND(F114&gt;0,EingabenÄnderungen!F141=0),0,IF(AND(F120=EingabenÄnderungen!F187,F61&gt;0,EingabenÄnderungen!F187&gt;0),0,F81)))</f>
        <v>0</v>
      </c>
      <c r="G82" s="1016">
        <f>IF(AND(G114&gt;0,G54&lt;=400),0,IF(AND(G114&gt;0,EingabenÄnderungen!G141=0),0,IF(AND(G120=EingabenÄnderungen!G187,G61&gt;0,EingabenÄnderungen!G187&gt;0),0,G81)))</f>
        <v>0</v>
      </c>
      <c r="H82" s="1016">
        <f>IF(AND(H114&gt;0,H54&lt;=400),0,IF(AND(H114&gt;0,EingabenÄnderungen!H141=0),0,IF(AND(H120=EingabenÄnderungen!H187,H61&gt;0,EingabenÄnderungen!H187&gt;0),0,H81)))</f>
        <v>0</v>
      </c>
      <c r="I82" s="1017">
        <f>IF(AND(I114&gt;0,I54&lt;=400),0,IF(AND(I114&gt;0,EingabenÄnderungen!I141=0),0,IF(AND(I120=EingabenÄnderungen!I187,I61&gt;0,EingabenÄnderungen!I187&gt;0),0,I81)))</f>
        <v>0</v>
      </c>
      <c r="L82" s="818"/>
      <c r="M82" s="818"/>
      <c r="N82" s="818"/>
      <c r="O82" s="818"/>
      <c r="P82" s="818"/>
      <c r="Q82" s="818"/>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18"/>
      <c r="BA82" s="818"/>
      <c r="BB82" s="818"/>
      <c r="BC82" s="818"/>
      <c r="BD82" s="818"/>
      <c r="BE82" s="818"/>
      <c r="BF82" s="818"/>
      <c r="BG82" s="818"/>
      <c r="BH82" s="818"/>
      <c r="BI82" s="818"/>
      <c r="BJ82" s="818"/>
      <c r="BK82" s="818"/>
      <c r="BL82" s="818"/>
    </row>
    <row r="83" spans="1:64" ht="18" hidden="1" customHeight="1">
      <c r="A83" s="1341"/>
      <c r="B83" s="507"/>
      <c r="C83" s="507">
        <f>IF(AND(EingabenÄnderungen!C160&gt;0,EingabenÄnderungen!C163=EingabenÄnderungen!C160),0,EingabenÄnderungen!C203+ZuschussKV!C17+ZuschussKV!C18+ZuschussKV!C51+ZuschussKV!C57)</f>
        <v>0</v>
      </c>
      <c r="D83" s="507">
        <f>IF(AND(EingabenÄnderungen!D160&gt;0,EingabenÄnderungen!D163=EingabenÄnderungen!D160),0,EingabenÄnderungen!D203+ZuschussKV!D17+ZuschussKV!D18+ZuschussKV!D51+ZuschussKV!D57)</f>
        <v>0</v>
      </c>
      <c r="E83" s="507">
        <f>IF(AND(EingabenÄnderungen!E160&gt;0,EingabenÄnderungen!E163=EingabenÄnderungen!E160),0,EingabenÄnderungen!E203+ZuschussKV!E17+ZuschussKV!E18+ZuschussKV!E51+ZuschussKV!E57)</f>
        <v>0</v>
      </c>
      <c r="F83" s="507">
        <f>IF(AND(EingabenÄnderungen!F160&gt;0,EingabenÄnderungen!F163=EingabenÄnderungen!F160),0,EingabenÄnderungen!F203+ZuschussKV!F17+ZuschussKV!F18+ZuschussKV!F51+ZuschussKV!F57)</f>
        <v>0</v>
      </c>
      <c r="G83" s="507">
        <f>IF(AND(EingabenÄnderungen!G160&gt;0,EingabenÄnderungen!G163=EingabenÄnderungen!G160),0,EingabenÄnderungen!G203+ZuschussKV!G17+ZuschussKV!G18+ZuschussKV!G51+ZuschussKV!G57)</f>
        <v>0</v>
      </c>
      <c r="H83" s="507">
        <f>IF(AND(EingabenÄnderungen!H160&gt;0,EingabenÄnderungen!H163=EingabenÄnderungen!H160),0,EingabenÄnderungen!H203+ZuschussKV!H17+ZuschussKV!H18+ZuschussKV!H51+ZuschussKV!H57)</f>
        <v>0</v>
      </c>
      <c r="I83" s="507">
        <f>IF(AND(EingabenÄnderungen!I160&gt;0,EingabenÄnderungen!I163=EingabenÄnderungen!I160),0,EingabenÄnderungen!I203+ZuschussKV!I17+ZuschussKV!I18+ZuschussKV!I51+ZuschussKV!I57)</f>
        <v>0</v>
      </c>
      <c r="L83" s="818"/>
      <c r="M83" s="818"/>
      <c r="N83" s="818"/>
      <c r="O83" s="818"/>
      <c r="P83" s="818"/>
      <c r="Q83" s="818"/>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18"/>
      <c r="BA83" s="818"/>
      <c r="BB83" s="818"/>
      <c r="BC83" s="818"/>
      <c r="BD83" s="818"/>
      <c r="BE83" s="818"/>
      <c r="BF83" s="818"/>
      <c r="BG83" s="818"/>
      <c r="BH83" s="818"/>
      <c r="BI83" s="818"/>
      <c r="BJ83" s="818"/>
      <c r="BK83" s="818"/>
      <c r="BL83" s="818"/>
    </row>
    <row r="84" spans="1:64" ht="18" hidden="1" customHeight="1">
      <c r="A84" s="1341"/>
      <c r="B84" s="507"/>
      <c r="C84" s="507">
        <f>IF(AND(EingabenÄnderungen!C212&gt;C113,C78&lt;&gt;EingabenÄnderungen!C202),C83,0)</f>
        <v>0</v>
      </c>
      <c r="D84" s="507">
        <f>IF(AND(EingabenÄnderungen!D212&gt;D113,D78&lt;&gt;EingabenÄnderungen!D202),D83,0)</f>
        <v>0</v>
      </c>
      <c r="E84" s="507">
        <f>IF(AND(EingabenÄnderungen!E212&gt;E113,E78&lt;&gt;EingabenÄnderungen!E202),E83,0)</f>
        <v>0</v>
      </c>
      <c r="F84" s="507">
        <f>IF(AND(EingabenÄnderungen!F212&gt;F113,F78&lt;&gt;EingabenÄnderungen!F202),F83,0)</f>
        <v>0</v>
      </c>
      <c r="G84" s="507">
        <f>IF(AND(EingabenÄnderungen!G212&gt;G113,G78&lt;&gt;EingabenÄnderungen!G202),G83,0)</f>
        <v>0</v>
      </c>
      <c r="H84" s="507">
        <f>IF(AND(EingabenÄnderungen!H212&gt;H113,H78&lt;&gt;EingabenÄnderungen!H202),H83,0)</f>
        <v>0</v>
      </c>
      <c r="I84" s="508">
        <f>IF(AND(EingabenÄnderungen!I212&gt;I113,I78&lt;&gt;EingabenÄnderungen!I202),I83,0)</f>
        <v>0</v>
      </c>
      <c r="L84" s="818"/>
      <c r="M84" s="818"/>
      <c r="N84" s="818"/>
      <c r="O84" s="818"/>
      <c r="P84" s="818"/>
      <c r="Q84" s="818"/>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18"/>
      <c r="BA84" s="818"/>
      <c r="BB84" s="818"/>
      <c r="BC84" s="818"/>
      <c r="BD84" s="818"/>
      <c r="BE84" s="818"/>
      <c r="BF84" s="818"/>
      <c r="BG84" s="818"/>
      <c r="BH84" s="818"/>
      <c r="BI84" s="818"/>
      <c r="BJ84" s="818"/>
      <c r="BK84" s="818"/>
      <c r="BL84" s="818"/>
    </row>
    <row r="85" spans="1:64" ht="18" hidden="1" customHeight="1">
      <c r="A85" s="1341"/>
      <c r="B85" s="507"/>
      <c r="C85" s="507">
        <f>IF(AND(ZuschussKV!C27=0,C113=0),EingabenÄnderungen!C203,IF(AND(C113=0,ZuschussKV!C45=0,ZuschussKV!C18&gt;0),EingabenÄnderungen!C203+ZuschussKV!C17+ZuschussKV!C18,IF(AND(OR(ZuschussKV!C51&gt;0,ZuschussKV!C57&gt;0),C113=0),EingabenÄnderungen!C203+ZuschussKV!C51+ZuschussKV!C57,0)))</f>
        <v>0</v>
      </c>
      <c r="D85" s="507">
        <f>IF(AND(ZuschussKV!D27=0,D113=0),EingabenÄnderungen!D203,IF(AND(D113=0,ZuschussKV!D45=0,ZuschussKV!D18&gt;0),EingabenÄnderungen!D203+ZuschussKV!D17+ZuschussKV!D18,IF(AND(OR(ZuschussKV!D51&gt;0,ZuschussKV!D57&gt;0),D113=0),EingabenÄnderungen!D203+ZuschussKV!D51+ZuschussKV!D57,0)))</f>
        <v>0</v>
      </c>
      <c r="E85" s="507">
        <f>IF(AND(ZuschussKV!E27=0,E113=0),EingabenÄnderungen!E203,IF(AND(E113=0,ZuschussKV!E45=0,ZuschussKV!E18&gt;0),EingabenÄnderungen!E203+ZuschussKV!E17+ZuschussKV!E18,IF(AND(OR(ZuschussKV!E51&gt;0,ZuschussKV!E57&gt;0),E113=0),EingabenÄnderungen!E203+ZuschussKV!E51+ZuschussKV!E57,0)))</f>
        <v>0</v>
      </c>
      <c r="F85" s="507">
        <f>IF(AND(ZuschussKV!F27=0,F113=0),EingabenÄnderungen!F203,IF(AND(F113=0,ZuschussKV!F45=0,ZuschussKV!F18&gt;0),EingabenÄnderungen!F203+ZuschussKV!F17+ZuschussKV!F18,IF(AND(OR(ZuschussKV!F51&gt;0,ZuschussKV!F57&gt;0),F113=0),EingabenÄnderungen!F203+ZuschussKV!F51+ZuschussKV!F57,0)))</f>
        <v>0</v>
      </c>
      <c r="G85" s="507">
        <f>IF(AND(ZuschussKV!G27=0,G113=0),EingabenÄnderungen!G203,IF(AND(G113=0,ZuschussKV!G45=0,ZuschussKV!G18&gt;0),EingabenÄnderungen!G203+ZuschussKV!G17+ZuschussKV!G18,IF(AND(OR(ZuschussKV!G51&gt;0,ZuschussKV!G57&gt;0),G113=0),EingabenÄnderungen!G203+ZuschussKV!G51+ZuschussKV!G57,0)))</f>
        <v>0</v>
      </c>
      <c r="H85" s="507">
        <f>IF(AND(ZuschussKV!H27=0,H113=0),EingabenÄnderungen!H203,IF(AND(H113=0,ZuschussKV!H45=0,ZuschussKV!H18&gt;0),EingabenÄnderungen!H203+ZuschussKV!H17+ZuschussKV!H18,IF(AND(OR(ZuschussKV!H51&gt;0,ZuschussKV!H57&gt;0),H113=0),EingabenÄnderungen!H203+ZuschussKV!H51+ZuschussKV!H57,0)))</f>
        <v>0</v>
      </c>
      <c r="I85" s="507">
        <f>IF(AND(ZuschussKV!I27=0,I113=0),EingabenÄnderungen!I203,IF(AND(I113=0,ZuschussKV!I45=0,ZuschussKV!I18&gt;0),EingabenÄnderungen!I203+ZuschussKV!I17+ZuschussKV!I18,IF(AND(OR(ZuschussKV!I51&gt;0,ZuschussKV!I57&gt;0),I113=0),EingabenÄnderungen!I203+ZuschussKV!I51+ZuschussKV!I57,0)))</f>
        <v>0</v>
      </c>
      <c r="L85" s="818"/>
      <c r="M85" s="818"/>
      <c r="N85" s="818"/>
      <c r="O85" s="818"/>
      <c r="P85" s="818"/>
      <c r="Q85" s="818"/>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18"/>
      <c r="BA85" s="818"/>
      <c r="BB85" s="818"/>
      <c r="BC85" s="818"/>
      <c r="BD85" s="818"/>
      <c r="BE85" s="818"/>
      <c r="BF85" s="818"/>
      <c r="BG85" s="818"/>
      <c r="BH85" s="818"/>
      <c r="BI85" s="818"/>
      <c r="BJ85" s="818"/>
      <c r="BK85" s="818"/>
      <c r="BL85" s="818"/>
    </row>
    <row r="86" spans="1:64" ht="18" hidden="1" customHeight="1">
      <c r="A86" s="1341"/>
      <c r="B86" s="507"/>
      <c r="C86" s="507">
        <f>IF(C85=EingabenÄnderungen!C203+ZuschussKV!C17+ZuschussKV!C18+ZuschussKV!C51+ZuschussKV!C57,C85,C84)</f>
        <v>0</v>
      </c>
      <c r="D86" s="507">
        <f>IF(D85=EingabenÄnderungen!D203+ZuschussKV!D17+ZuschussKV!D18+ZuschussKV!D51+ZuschussKV!D57,D85,D84)</f>
        <v>0</v>
      </c>
      <c r="E86" s="507">
        <f>IF(E85=EingabenÄnderungen!E203+ZuschussKV!E17+ZuschussKV!E18+ZuschussKV!E51+ZuschussKV!E57,E85,E84)</f>
        <v>0</v>
      </c>
      <c r="F86" s="507">
        <f>IF(F85=EingabenÄnderungen!F203+ZuschussKV!F17+ZuschussKV!F18+ZuschussKV!F51+ZuschussKV!F57,F85,F84)</f>
        <v>0</v>
      </c>
      <c r="G86" s="507">
        <f>IF(G85=EingabenÄnderungen!G203+ZuschussKV!G17+ZuschussKV!G18+ZuschussKV!G51+ZuschussKV!G57,G85,G84)</f>
        <v>0</v>
      </c>
      <c r="H86" s="507">
        <f>IF(H85=EingabenÄnderungen!H203+ZuschussKV!H17+ZuschussKV!H18+ZuschussKV!H51+ZuschussKV!H57,H85,H84)</f>
        <v>0</v>
      </c>
      <c r="I86" s="507">
        <f>IF(I85=EingabenÄnderungen!I203+ZuschussKV!I17+ZuschussKV!I18+ZuschussKV!I51+ZuschussKV!I57,I85,I84)</f>
        <v>0</v>
      </c>
      <c r="L86" s="818"/>
      <c r="M86" s="818"/>
      <c r="N86" s="818"/>
      <c r="O86" s="818"/>
      <c r="P86" s="818"/>
      <c r="Q86" s="818"/>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18"/>
      <c r="BA86" s="818"/>
      <c r="BB86" s="818"/>
      <c r="BC86" s="818"/>
      <c r="BD86" s="818"/>
      <c r="BE86" s="818"/>
      <c r="BF86" s="818"/>
      <c r="BG86" s="818"/>
      <c r="BH86" s="818"/>
      <c r="BI86" s="818"/>
      <c r="BJ86" s="818"/>
      <c r="BK86" s="818"/>
      <c r="BL86" s="818"/>
    </row>
    <row r="87" spans="1:64" ht="18" customHeight="1">
      <c r="A87" s="976">
        <f>IF(B87&gt;0,"./. Beiträge für Krankheit/Alter/ZVK",0)</f>
        <v>0</v>
      </c>
      <c r="B87" s="1365">
        <f>SUM(C87:I87)</f>
        <v>0</v>
      </c>
      <c r="C87" s="1016">
        <f>IF(C70=0,0,IF(AND(C114&gt;0,C54&lt;=400),0,IF(AND(C114&gt;0,EingabenÄnderungen!C141=0),0,IF(AND(C120=EingabenÄnderungen!C187,C61&gt;0,EingabenÄnderungen!C187&gt;0),0,C86))))</f>
        <v>0</v>
      </c>
      <c r="D87" s="1016">
        <f>IF(D70=0,0,IF(AND(D114&gt;0,D54&lt;=400),0,IF(AND(D114&gt;0,EingabenÄnderungen!D141=0),0,IF(AND(D120=EingabenÄnderungen!D187,D61&gt;0,EingabenÄnderungen!D187&gt;0),0,D86))))</f>
        <v>0</v>
      </c>
      <c r="E87" s="1016">
        <f>IF(E70=0,0,IF(AND(E114&gt;0,E54&lt;=400),0,IF(AND(E114&gt;0,EingabenÄnderungen!E141=0),0,IF(AND(E120=EingabenÄnderungen!E187,E61&gt;0,EingabenÄnderungen!E187&gt;0),0,E86))))</f>
        <v>0</v>
      </c>
      <c r="F87" s="1016">
        <f>IF(F70=0,0,IF(AND(F114&gt;0,F54&lt;=400),0,IF(AND(F114&gt;0,EingabenÄnderungen!F141=0),0,IF(AND(F120=EingabenÄnderungen!F187,F61&gt;0,EingabenÄnderungen!F187&gt;0),0,F86))))</f>
        <v>0</v>
      </c>
      <c r="G87" s="1016">
        <f>IF(G70=0,0,IF(AND(G114&gt;0,G54&lt;=400),0,IF(AND(G114&gt;0,EingabenÄnderungen!G141=0),0,IF(AND(G120=EingabenÄnderungen!G187,G61&gt;0,EingabenÄnderungen!G187&gt;0),0,G86))))</f>
        <v>0</v>
      </c>
      <c r="H87" s="1016">
        <f>IF(H70=0,0,IF(AND(H114&gt;0,H54&lt;=400),0,IF(AND(H114&gt;0,EingabenÄnderungen!H141=0),0,IF(AND(H120=EingabenÄnderungen!H187,H61&gt;0,EingabenÄnderungen!H187&gt;0),0,H86))))</f>
        <v>0</v>
      </c>
      <c r="I87" s="1017">
        <f>IF(I70=0,0,IF(AND(I114&gt;0,I54&lt;=400),0,IF(AND(I114&gt;0,EingabenÄnderungen!I141=0),0,IF(AND(I120=EingabenÄnderungen!I187,I61&gt;0,EingabenÄnderungen!I187&gt;0),0,I86))))</f>
        <v>0</v>
      </c>
      <c r="L87" s="818"/>
      <c r="M87" s="818"/>
      <c r="N87" s="818"/>
      <c r="O87" s="818"/>
      <c r="P87" s="818"/>
      <c r="Q87" s="818"/>
      <c r="R87" s="818"/>
      <c r="S87" s="818"/>
      <c r="T87" s="818"/>
      <c r="U87" s="818"/>
      <c r="V87" s="818"/>
      <c r="W87" s="818"/>
      <c r="X87" s="818"/>
      <c r="Y87" s="818"/>
      <c r="Z87" s="818"/>
      <c r="AA87" s="818"/>
      <c r="AB87" s="818"/>
      <c r="AC87" s="818"/>
      <c r="AD87" s="818"/>
      <c r="AE87" s="818"/>
      <c r="AF87" s="818"/>
      <c r="AG87" s="818"/>
      <c r="AH87" s="818"/>
      <c r="AI87" s="818"/>
      <c r="AJ87" s="818"/>
      <c r="AK87" s="818"/>
      <c r="AL87" s="818"/>
      <c r="AM87" s="818"/>
      <c r="AN87" s="818"/>
      <c r="AO87" s="818"/>
      <c r="AP87" s="818"/>
      <c r="AQ87" s="818"/>
      <c r="AR87" s="818"/>
      <c r="AS87" s="818"/>
      <c r="AT87" s="818"/>
      <c r="AU87" s="818"/>
      <c r="AV87" s="818"/>
      <c r="AW87" s="818"/>
      <c r="AX87" s="818"/>
      <c r="AY87" s="818"/>
      <c r="AZ87" s="818"/>
      <c r="BA87" s="818"/>
      <c r="BB87" s="818"/>
      <c r="BC87" s="818"/>
      <c r="BD87" s="818"/>
      <c r="BE87" s="818"/>
      <c r="BF87" s="818"/>
      <c r="BG87" s="818"/>
      <c r="BH87" s="818"/>
      <c r="BI87" s="818"/>
      <c r="BJ87" s="818"/>
      <c r="BK87" s="818"/>
      <c r="BL87" s="818"/>
    </row>
    <row r="88" spans="1:64" ht="16.5" hidden="1" customHeight="1">
      <c r="A88" s="1341"/>
      <c r="B88" s="507"/>
      <c r="C88" s="507">
        <f>IF(AND(EingabenÄnderungen!C160&gt;0,EingabenÄnderungen!C163=EingabenÄnderungen!C160),0,EingabenÄnderungen!C210)</f>
        <v>0</v>
      </c>
      <c r="D88" s="507">
        <f>IF(AND(EingabenÄnderungen!D160&gt;0,EingabenÄnderungen!D163=EingabenÄnderungen!D160),0,EingabenÄnderungen!D210)</f>
        <v>0</v>
      </c>
      <c r="E88" s="507">
        <f>IF(AND(EingabenÄnderungen!E160&gt;0,EingabenÄnderungen!E163=EingabenÄnderungen!E160),0,EingabenÄnderungen!E210)</f>
        <v>0</v>
      </c>
      <c r="F88" s="507">
        <f>IF(AND(EingabenÄnderungen!F160&gt;0,EingabenÄnderungen!F163=EingabenÄnderungen!F160),0,EingabenÄnderungen!F210)</f>
        <v>0</v>
      </c>
      <c r="G88" s="507">
        <f>IF(AND(EingabenÄnderungen!G160&gt;0,EingabenÄnderungen!G163=EingabenÄnderungen!G160),0,EingabenÄnderungen!G210)</f>
        <v>0</v>
      </c>
      <c r="H88" s="507">
        <f>IF(AND(EingabenÄnderungen!H160&gt;0,EingabenÄnderungen!H163=EingabenÄnderungen!H160),0,EingabenÄnderungen!H210)</f>
        <v>0</v>
      </c>
      <c r="I88" s="508">
        <f>IF(AND(EingabenÄnderungen!I160&gt;0,EingabenÄnderungen!I163=EingabenÄnderungen!I160),0,EingabenÄnderungen!I210)</f>
        <v>0</v>
      </c>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818"/>
      <c r="AK88" s="818"/>
      <c r="AL88" s="818"/>
      <c r="AM88" s="818"/>
      <c r="AN88" s="818"/>
      <c r="AO88" s="818"/>
      <c r="AP88" s="818"/>
      <c r="AQ88" s="818"/>
      <c r="AR88" s="818"/>
      <c r="AS88" s="818"/>
      <c r="AT88" s="818"/>
      <c r="AU88" s="818"/>
      <c r="AV88" s="818"/>
      <c r="AW88" s="818"/>
      <c r="AX88" s="818"/>
      <c r="AY88" s="818"/>
      <c r="AZ88" s="818"/>
      <c r="BA88" s="818"/>
      <c r="BB88" s="818"/>
      <c r="BC88" s="818"/>
      <c r="BD88" s="818"/>
      <c r="BE88" s="818"/>
      <c r="BF88" s="818"/>
      <c r="BG88" s="818"/>
      <c r="BH88" s="818"/>
      <c r="BI88" s="818"/>
      <c r="BJ88" s="818"/>
      <c r="BK88" s="818"/>
      <c r="BL88" s="818"/>
    </row>
    <row r="89" spans="1:64" ht="16.5" hidden="1" customHeight="1">
      <c r="A89" s="1341"/>
      <c r="B89" s="507"/>
      <c r="C89" s="507">
        <f>IF(AND(EingabenÄnderungen!C212&gt;C113,C78&lt;&gt;EingabenÄnderungen!C202),C88,0)</f>
        <v>0</v>
      </c>
      <c r="D89" s="507">
        <f>IF(AND(EingabenÄnderungen!D212&gt;D113,D78&lt;&gt;EingabenÄnderungen!D202),D88,0)</f>
        <v>0</v>
      </c>
      <c r="E89" s="507">
        <f>IF(AND(EingabenÄnderungen!E212&gt;E113,E78&lt;&gt;EingabenÄnderungen!E202),E88,0)</f>
        <v>0</v>
      </c>
      <c r="F89" s="507">
        <f>IF(AND(EingabenÄnderungen!F212&gt;F113,F78&lt;&gt;EingabenÄnderungen!F202),F88,0)</f>
        <v>0</v>
      </c>
      <c r="G89" s="507">
        <f>IF(AND(EingabenÄnderungen!G212&gt;G113,G78&lt;&gt;EingabenÄnderungen!G202),G88,0)</f>
        <v>0</v>
      </c>
      <c r="H89" s="507">
        <f>IF(AND(EingabenÄnderungen!H212&gt;H113,H78&lt;&gt;EingabenÄnderungen!H202),H88,0)</f>
        <v>0</v>
      </c>
      <c r="I89" s="508">
        <f>IF(AND(EingabenÄnderungen!I212&gt;I113,I78&lt;&gt;EingabenÄnderungen!I202),I88,0)</f>
        <v>0</v>
      </c>
      <c r="L89" s="818"/>
      <c r="M89" s="818"/>
      <c r="N89" s="818"/>
      <c r="O89" s="818"/>
      <c r="P89" s="818"/>
      <c r="Q89" s="818"/>
      <c r="R89" s="818"/>
      <c r="S89" s="818"/>
      <c r="T89" s="818"/>
      <c r="U89" s="818"/>
      <c r="V89" s="818"/>
      <c r="W89" s="818"/>
      <c r="X89" s="818"/>
      <c r="Y89" s="818"/>
      <c r="Z89" s="818"/>
      <c r="AA89" s="818"/>
      <c r="AB89" s="818"/>
      <c r="AC89" s="818"/>
      <c r="AD89" s="818"/>
      <c r="AE89" s="818"/>
      <c r="AF89" s="818"/>
      <c r="AG89" s="818"/>
      <c r="AH89" s="818"/>
      <c r="AI89" s="818"/>
      <c r="AJ89" s="818"/>
      <c r="AK89" s="818"/>
      <c r="AL89" s="818"/>
      <c r="AM89" s="818"/>
      <c r="AN89" s="818"/>
      <c r="AO89" s="818"/>
      <c r="AP89" s="818"/>
      <c r="AQ89" s="818"/>
      <c r="AR89" s="818"/>
      <c r="AS89" s="818"/>
      <c r="AT89" s="818"/>
      <c r="AU89" s="818"/>
      <c r="AV89" s="818"/>
      <c r="AW89" s="818"/>
      <c r="AX89" s="818"/>
      <c r="AY89" s="818"/>
      <c r="AZ89" s="818"/>
      <c r="BA89" s="818"/>
      <c r="BB89" s="818"/>
      <c r="BC89" s="818"/>
      <c r="BD89" s="818"/>
      <c r="BE89" s="818"/>
      <c r="BF89" s="818"/>
      <c r="BG89" s="818"/>
      <c r="BH89" s="818"/>
      <c r="BI89" s="818"/>
      <c r="BJ89" s="818"/>
      <c r="BK89" s="818"/>
      <c r="BL89" s="818"/>
    </row>
    <row r="90" spans="1:64" ht="16.5" hidden="1" customHeight="1">
      <c r="A90" s="1341"/>
      <c r="B90" s="507"/>
      <c r="C90" s="507">
        <f>IF(C113=0,EingabenÄnderungen!C210,0)</f>
        <v>0</v>
      </c>
      <c r="D90" s="507">
        <f>IF(D113=0,EingabenÄnderungen!D210,0)</f>
        <v>0</v>
      </c>
      <c r="E90" s="507">
        <f>IF(E113=0,EingabenÄnderungen!E210,0)</f>
        <v>0</v>
      </c>
      <c r="F90" s="507">
        <f>IF(F113=0,EingabenÄnderungen!F210,0)</f>
        <v>0</v>
      </c>
      <c r="G90" s="507">
        <f>IF(G113=0,EingabenÄnderungen!G210,0)</f>
        <v>0</v>
      </c>
      <c r="H90" s="507">
        <f>IF(H113=0,EingabenÄnderungen!H210,0)</f>
        <v>0</v>
      </c>
      <c r="I90" s="508">
        <f>IF(I113=0,EingabenÄnderungen!I210,0)</f>
        <v>0</v>
      </c>
      <c r="L90" s="818"/>
      <c r="M90" s="818"/>
      <c r="N90" s="818"/>
      <c r="O90" s="818"/>
      <c r="P90" s="818"/>
      <c r="Q90" s="818"/>
      <c r="R90" s="818"/>
      <c r="S90" s="818"/>
      <c r="T90" s="818"/>
      <c r="U90" s="818"/>
      <c r="V90" s="818"/>
      <c r="W90" s="818"/>
      <c r="X90" s="818"/>
      <c r="Y90" s="818"/>
      <c r="Z90" s="818"/>
      <c r="AA90" s="818"/>
      <c r="AB90" s="818"/>
      <c r="AC90" s="818"/>
      <c r="AD90" s="818"/>
      <c r="AE90" s="818"/>
      <c r="AF90" s="818"/>
      <c r="AG90" s="818"/>
      <c r="AH90" s="818"/>
      <c r="AI90" s="818"/>
      <c r="AJ90" s="818"/>
      <c r="AK90" s="818"/>
      <c r="AL90" s="818"/>
      <c r="AM90" s="818"/>
      <c r="AN90" s="818"/>
      <c r="AO90" s="818"/>
      <c r="AP90" s="818"/>
      <c r="AQ90" s="818"/>
      <c r="AR90" s="818"/>
      <c r="AS90" s="818"/>
      <c r="AT90" s="818"/>
      <c r="AU90" s="818"/>
      <c r="AV90" s="818"/>
      <c r="AW90" s="818"/>
      <c r="AX90" s="818"/>
      <c r="AY90" s="818"/>
      <c r="AZ90" s="818"/>
      <c r="BA90" s="818"/>
      <c r="BB90" s="818"/>
      <c r="BC90" s="818"/>
      <c r="BD90" s="818"/>
      <c r="BE90" s="818"/>
      <c r="BF90" s="818"/>
      <c r="BG90" s="818"/>
      <c r="BH90" s="818"/>
      <c r="BI90" s="818"/>
      <c r="BJ90" s="818"/>
      <c r="BK90" s="818"/>
      <c r="BL90" s="818"/>
    </row>
    <row r="91" spans="1:64" ht="16.5" hidden="1" customHeight="1">
      <c r="A91" s="1341"/>
      <c r="B91" s="507"/>
      <c r="C91" s="507">
        <f>IF(C90=EingabenÄnderungen!C210,C90,C89)</f>
        <v>0</v>
      </c>
      <c r="D91" s="507">
        <f>IF(D90=EingabenÄnderungen!D210,D90,D89)</f>
        <v>0</v>
      </c>
      <c r="E91" s="507">
        <f>IF(E90=EingabenÄnderungen!E210,E90,E89)</f>
        <v>0</v>
      </c>
      <c r="F91" s="507">
        <f>IF(F90=EingabenÄnderungen!F210,F90,F89)</f>
        <v>0</v>
      </c>
      <c r="G91" s="507">
        <f>IF(G90=EingabenÄnderungen!G210,G90,G89)</f>
        <v>0</v>
      </c>
      <c r="H91" s="507">
        <f>IF(H90=EingabenÄnderungen!H210,H90,H89)</f>
        <v>0</v>
      </c>
      <c r="I91" s="508">
        <f>IF(I90=EingabenÄnderungen!I210,I90,I89)</f>
        <v>0</v>
      </c>
      <c r="L91" s="818"/>
      <c r="M91" s="818"/>
      <c r="N91" s="818"/>
      <c r="O91" s="818"/>
      <c r="P91" s="818"/>
      <c r="Q91" s="818"/>
      <c r="R91" s="818"/>
      <c r="S91" s="818"/>
      <c r="T91" s="818"/>
      <c r="U91" s="818"/>
      <c r="V91" s="818"/>
      <c r="W91" s="818"/>
      <c r="X91" s="818"/>
      <c r="Y91" s="818"/>
      <c r="Z91" s="818"/>
      <c r="AA91" s="818"/>
      <c r="AB91" s="818"/>
      <c r="AC91" s="818"/>
      <c r="AD91" s="818"/>
      <c r="AE91" s="818"/>
      <c r="AF91" s="818"/>
      <c r="AG91" s="818"/>
      <c r="AH91" s="818"/>
      <c r="AI91" s="818"/>
      <c r="AJ91" s="818"/>
      <c r="AK91" s="818"/>
      <c r="AL91" s="818"/>
      <c r="AM91" s="818"/>
      <c r="AN91" s="818"/>
      <c r="AO91" s="818"/>
      <c r="AP91" s="818"/>
      <c r="AQ91" s="818"/>
      <c r="AR91" s="818"/>
      <c r="AS91" s="818"/>
      <c r="AT91" s="818"/>
      <c r="AU91" s="818"/>
      <c r="AV91" s="818"/>
      <c r="AW91" s="818"/>
      <c r="AX91" s="818"/>
      <c r="AY91" s="818"/>
      <c r="AZ91" s="818"/>
      <c r="BA91" s="818"/>
      <c r="BB91" s="818"/>
      <c r="BC91" s="818"/>
      <c r="BD91" s="818"/>
      <c r="BE91" s="818"/>
      <c r="BF91" s="818"/>
      <c r="BG91" s="818"/>
      <c r="BH91" s="818"/>
      <c r="BI91" s="818"/>
      <c r="BJ91" s="818"/>
      <c r="BK91" s="818"/>
      <c r="BL91" s="818"/>
    </row>
    <row r="92" spans="1:64">
      <c r="A92" s="976">
        <f>IF(B92&gt;0,"./. Beiträge Riester-Rente",0)</f>
        <v>0</v>
      </c>
      <c r="B92" s="1365">
        <f>SUM(C92:I92)</f>
        <v>0</v>
      </c>
      <c r="C92" s="1016">
        <f>IF(C70=0,0,IF(AND(C114&gt;0,C54&lt;=400),0,IF(AND(C114&gt;0,EingabenÄnderungen!C141=0),0,IF(AND(C120=EingabenÄnderungen!C187,C61&gt;0,EingabenÄnderungen!C187&gt;0),0,C91))))</f>
        <v>0</v>
      </c>
      <c r="D92" s="1016">
        <f>IF(D70=0,0,IF(AND(D114&gt;0,D54&lt;=400),0,IF(AND(D114&gt;0,EingabenÄnderungen!D141=0),0,IF(AND(D120=EingabenÄnderungen!D187,D61&gt;0,EingabenÄnderungen!D187&gt;0),0,D91))))</f>
        <v>0</v>
      </c>
      <c r="E92" s="1016">
        <f>IF(E70=0,0,IF(AND(E114&gt;0,E54&lt;=400),0,IF(AND(E114&gt;0,EingabenÄnderungen!E141=0),0,IF(AND(E120=EingabenÄnderungen!E187,E61&gt;0,EingabenÄnderungen!E187&gt;0),0,E91))))</f>
        <v>0</v>
      </c>
      <c r="F92" s="1016">
        <f>IF(F70=0,0,IF(AND(F114&gt;0,F54&lt;=400),0,IF(AND(F114&gt;0,EingabenÄnderungen!F141=0),0,IF(AND(F120=EingabenÄnderungen!F187,F61&gt;0,EingabenÄnderungen!F187&gt;0),0,F91))))</f>
        <v>0</v>
      </c>
      <c r="G92" s="1016">
        <f>IF(G70=0,0,IF(AND(G114&gt;0,G54&lt;=400),0,IF(AND(G114&gt;0,EingabenÄnderungen!G141=0),0,IF(AND(G120=EingabenÄnderungen!G187,G61&gt;0,EingabenÄnderungen!G187&gt;0),0,G91))))</f>
        <v>0</v>
      </c>
      <c r="H92" s="1016">
        <f>IF(H70=0,0,IF(AND(H114&gt;0,H54&lt;=400),0,IF(AND(H114&gt;0,EingabenÄnderungen!H141=0),0,IF(AND(H120=EingabenÄnderungen!H187,H61&gt;0,EingabenÄnderungen!H187&gt;0),0,H91))))</f>
        <v>0</v>
      </c>
      <c r="I92" s="1017">
        <f>IF(I70=0,0,IF(AND(I114&gt;0,I54&lt;=400),0,IF(AND(I114&gt;0,EingabenÄnderungen!I141=0),0,IF(AND(I120=EingabenÄnderungen!I187,I61&gt;0,EingabenÄnderungen!I187&gt;0),0,I91))))</f>
        <v>0</v>
      </c>
      <c r="L92" s="818"/>
      <c r="M92" s="818"/>
      <c r="N92" s="818"/>
      <c r="O92" s="818"/>
      <c r="P92" s="818"/>
      <c r="Q92" s="818"/>
      <c r="R92" s="818"/>
      <c r="S92" s="818"/>
      <c r="T92" s="818"/>
      <c r="U92" s="818"/>
      <c r="V92" s="818"/>
      <c r="W92" s="818"/>
      <c r="X92" s="818"/>
      <c r="Y92" s="818"/>
      <c r="Z92" s="818"/>
      <c r="AA92" s="818"/>
      <c r="AB92" s="818"/>
      <c r="AC92" s="818"/>
      <c r="AD92" s="818"/>
      <c r="AE92" s="818"/>
      <c r="AF92" s="818"/>
      <c r="AG92" s="818"/>
      <c r="AH92" s="818"/>
      <c r="AI92" s="818"/>
      <c r="AJ92" s="818"/>
      <c r="AK92" s="818"/>
      <c r="AL92" s="818"/>
      <c r="AM92" s="818"/>
      <c r="AN92" s="818"/>
      <c r="AO92" s="818"/>
      <c r="AP92" s="818"/>
      <c r="AQ92" s="818"/>
      <c r="AR92" s="818"/>
      <c r="AS92" s="818"/>
      <c r="AT92" s="818"/>
      <c r="AU92" s="818"/>
      <c r="AV92" s="818"/>
      <c r="AW92" s="818"/>
      <c r="AX92" s="818"/>
      <c r="AY92" s="818"/>
      <c r="AZ92" s="818"/>
      <c r="BA92" s="818"/>
      <c r="BB92" s="818"/>
      <c r="BC92" s="818"/>
      <c r="BD92" s="818"/>
      <c r="BE92" s="818"/>
      <c r="BF92" s="818"/>
      <c r="BG92" s="818"/>
      <c r="BH92" s="818"/>
      <c r="BI92" s="818"/>
      <c r="BJ92" s="818"/>
      <c r="BK92" s="818"/>
      <c r="BL92" s="818"/>
    </row>
    <row r="93" spans="1:64" ht="16.5" hidden="1" customHeight="1">
      <c r="A93" s="976"/>
      <c r="B93" s="507"/>
      <c r="C93" s="507">
        <f>IF(AND(EingabenÄnderungen!C160&gt;0,EingabenÄnderungen!C163=EingabenÄnderungen!C160),0,EingabenÄnderungen!C127)</f>
        <v>0</v>
      </c>
      <c r="D93" s="507">
        <f>IF(AND(EingabenÄnderungen!D160&gt;0,EingabenÄnderungen!D163=EingabenÄnderungen!D160),0,EingabenÄnderungen!D127)</f>
        <v>0</v>
      </c>
      <c r="E93" s="507">
        <f>IF(AND(EingabenÄnderungen!E160&gt;0,EingabenÄnderungen!E163=EingabenÄnderungen!E160),0,EingabenÄnderungen!E127)</f>
        <v>0</v>
      </c>
      <c r="F93" s="507">
        <f>IF(AND(EingabenÄnderungen!F160&gt;0,EingabenÄnderungen!F163=EingabenÄnderungen!F160),0,EingabenÄnderungen!F127)</f>
        <v>0</v>
      </c>
      <c r="G93" s="507">
        <f>IF(AND(EingabenÄnderungen!G160&gt;0,EingabenÄnderungen!G163=EingabenÄnderungen!G160),0,EingabenÄnderungen!G127)</f>
        <v>0</v>
      </c>
      <c r="H93" s="507">
        <f>IF(AND(EingabenÄnderungen!H160&gt;0,EingabenÄnderungen!H163=EingabenÄnderungen!H160),0,EingabenÄnderungen!H127)</f>
        <v>0</v>
      </c>
      <c r="I93" s="508">
        <f>IF(AND(EingabenÄnderungen!I160&gt;0,EingabenÄnderungen!I163=EingabenÄnderungen!I160),0,EingabenÄnderungen!I127)</f>
        <v>0</v>
      </c>
      <c r="L93" s="818"/>
      <c r="M93" s="818"/>
      <c r="N93" s="818"/>
      <c r="O93" s="818"/>
      <c r="P93" s="818"/>
      <c r="Q93" s="818"/>
      <c r="R93" s="818"/>
      <c r="S93" s="818"/>
      <c r="T93" s="818"/>
      <c r="U93" s="818"/>
      <c r="V93" s="818"/>
      <c r="W93" s="818"/>
      <c r="X93" s="818"/>
      <c r="Y93" s="818"/>
      <c r="Z93" s="818"/>
      <c r="AA93" s="818"/>
      <c r="AB93" s="818"/>
      <c r="AC93" s="818"/>
      <c r="AD93" s="818"/>
      <c r="AE93" s="818"/>
      <c r="AF93" s="818"/>
      <c r="AG93" s="818"/>
      <c r="AH93" s="818"/>
      <c r="AI93" s="818"/>
      <c r="AJ93" s="818"/>
      <c r="AK93" s="818"/>
      <c r="AL93" s="818"/>
      <c r="AM93" s="818"/>
      <c r="AN93" s="818"/>
      <c r="AO93" s="818"/>
      <c r="AP93" s="818"/>
      <c r="AQ93" s="818"/>
      <c r="AR93" s="818"/>
      <c r="AS93" s="818"/>
      <c r="AT93" s="818"/>
      <c r="AU93" s="818"/>
      <c r="AV93" s="818"/>
      <c r="AW93" s="818"/>
      <c r="AX93" s="818"/>
      <c r="AY93" s="818"/>
      <c r="AZ93" s="818"/>
      <c r="BA93" s="818"/>
      <c r="BB93" s="818"/>
      <c r="BC93" s="818"/>
      <c r="BD93" s="818"/>
      <c r="BE93" s="818"/>
      <c r="BF93" s="818"/>
      <c r="BG93" s="818"/>
      <c r="BH93" s="818"/>
      <c r="BI93" s="818"/>
      <c r="BJ93" s="818"/>
      <c r="BK93" s="818"/>
      <c r="BL93" s="818"/>
    </row>
    <row r="94" spans="1:64" ht="16.5" hidden="1" customHeight="1">
      <c r="A94" s="1366"/>
      <c r="B94" s="507"/>
      <c r="C94" s="507">
        <f>IF(AND(EingabenÄnderungen!C212&gt;C113,C78&lt;&gt;EingabenÄnderungen!C127),C93,0)</f>
        <v>0</v>
      </c>
      <c r="D94" s="507">
        <f>IF(AND(EingabenÄnderungen!D212&gt;D113,D78&lt;&gt;EingabenÄnderungen!D127),D93,0)</f>
        <v>0</v>
      </c>
      <c r="E94" s="507">
        <f>IF(AND(EingabenÄnderungen!E212&gt;E113,E78&lt;&gt;EingabenÄnderungen!E127),E93,0)</f>
        <v>0</v>
      </c>
      <c r="F94" s="507">
        <f>IF(AND(EingabenÄnderungen!F212&gt;F113,F78&lt;&gt;EingabenÄnderungen!F127),F93,0)</f>
        <v>0</v>
      </c>
      <c r="G94" s="507">
        <f>IF(AND(EingabenÄnderungen!G212&gt;G113,G78&lt;&gt;EingabenÄnderungen!G127),G93,0)</f>
        <v>0</v>
      </c>
      <c r="H94" s="507">
        <f>IF(AND(EingabenÄnderungen!H212&gt;H113,H78&lt;&gt;EingabenÄnderungen!H127),H93,0)</f>
        <v>0</v>
      </c>
      <c r="I94" s="508">
        <f>IF(AND(EingabenÄnderungen!I212&gt;I113,I78&lt;&gt;EingabenÄnderungen!I127),I93,0)</f>
        <v>0</v>
      </c>
      <c r="L94" s="818"/>
      <c r="M94" s="818"/>
      <c r="N94" s="818"/>
      <c r="O94" s="818"/>
      <c r="P94" s="818"/>
      <c r="Q94" s="818"/>
      <c r="R94" s="818"/>
      <c r="S94" s="818"/>
      <c r="T94" s="818"/>
      <c r="U94" s="818"/>
      <c r="V94" s="818"/>
      <c r="W94" s="818"/>
      <c r="X94" s="818"/>
      <c r="Y94" s="818"/>
      <c r="Z94" s="818"/>
      <c r="AA94" s="818"/>
      <c r="AB94" s="818"/>
      <c r="AC94" s="818"/>
      <c r="AD94" s="818"/>
      <c r="AE94" s="818"/>
      <c r="AF94" s="818"/>
      <c r="AG94" s="818"/>
      <c r="AH94" s="818"/>
      <c r="AI94" s="818"/>
      <c r="AJ94" s="818"/>
      <c r="AK94" s="818"/>
      <c r="AL94" s="818"/>
      <c r="AM94" s="818"/>
      <c r="AN94" s="818"/>
      <c r="AO94" s="818"/>
      <c r="AP94" s="818"/>
      <c r="AQ94" s="818"/>
      <c r="AR94" s="818"/>
      <c r="AS94" s="818"/>
      <c r="AT94" s="818"/>
      <c r="AU94" s="818"/>
      <c r="AV94" s="818"/>
      <c r="AW94" s="818"/>
      <c r="AX94" s="818"/>
      <c r="AY94" s="818"/>
      <c r="AZ94" s="818"/>
      <c r="BA94" s="818"/>
      <c r="BB94" s="818"/>
      <c r="BC94" s="818"/>
      <c r="BD94" s="818"/>
      <c r="BE94" s="818"/>
      <c r="BF94" s="818"/>
      <c r="BG94" s="818"/>
      <c r="BH94" s="818"/>
      <c r="BI94" s="818"/>
      <c r="BJ94" s="818"/>
      <c r="BK94" s="818"/>
      <c r="BL94" s="818"/>
    </row>
    <row r="95" spans="1:64" ht="16.5" hidden="1" customHeight="1">
      <c r="A95" s="976"/>
      <c r="B95" s="507"/>
      <c r="C95" s="507">
        <f>IF(C113=0,EingabenÄnderungen!C127,0)</f>
        <v>0</v>
      </c>
      <c r="D95" s="507">
        <f>IF(D113=0,EingabenÄnderungen!D127,0)</f>
        <v>0</v>
      </c>
      <c r="E95" s="507">
        <f>IF(E113=0,EingabenÄnderungen!E127,0)</f>
        <v>0</v>
      </c>
      <c r="F95" s="507">
        <f>IF(F113=0,EingabenÄnderungen!F127,0)</f>
        <v>0</v>
      </c>
      <c r="G95" s="507">
        <f>IF(G113=0,EingabenÄnderungen!G127,0)</f>
        <v>0</v>
      </c>
      <c r="H95" s="507">
        <f>IF(H113=0,EingabenÄnderungen!H127,0)</f>
        <v>0</v>
      </c>
      <c r="I95" s="508">
        <f>IF(I113=0,EingabenÄnderungen!I127,0)</f>
        <v>0</v>
      </c>
      <c r="L95" s="818"/>
      <c r="M95" s="818"/>
      <c r="N95" s="818"/>
      <c r="O95" s="818"/>
      <c r="P95" s="818"/>
      <c r="Q95" s="818"/>
      <c r="R95" s="818"/>
      <c r="S95" s="818"/>
      <c r="T95" s="818"/>
      <c r="U95" s="818"/>
      <c r="V95" s="818"/>
      <c r="W95" s="818"/>
      <c r="X95" s="818"/>
      <c r="Y95" s="818"/>
      <c r="Z95" s="818"/>
      <c r="AA95" s="818"/>
      <c r="AB95" s="818"/>
      <c r="AC95" s="818"/>
      <c r="AD95" s="818"/>
      <c r="AE95" s="818"/>
      <c r="AF95" s="818"/>
      <c r="AG95" s="818"/>
      <c r="AH95" s="818"/>
      <c r="AI95" s="818"/>
      <c r="AJ95" s="818"/>
      <c r="AK95" s="818"/>
      <c r="AL95" s="818"/>
      <c r="AM95" s="818"/>
      <c r="AN95" s="818"/>
      <c r="AO95" s="818"/>
      <c r="AP95" s="818"/>
      <c r="AQ95" s="818"/>
      <c r="AR95" s="818"/>
      <c r="AS95" s="818"/>
      <c r="AT95" s="818"/>
      <c r="AU95" s="818"/>
      <c r="AV95" s="818"/>
      <c r="AW95" s="818"/>
      <c r="AX95" s="818"/>
      <c r="AY95" s="818"/>
      <c r="AZ95" s="818"/>
      <c r="BA95" s="818"/>
      <c r="BB95" s="818"/>
      <c r="BC95" s="818"/>
      <c r="BD95" s="818"/>
      <c r="BE95" s="818"/>
      <c r="BF95" s="818"/>
      <c r="BG95" s="818"/>
      <c r="BH95" s="818"/>
      <c r="BI95" s="818"/>
      <c r="BJ95" s="818"/>
      <c r="BK95" s="818"/>
      <c r="BL95" s="818"/>
    </row>
    <row r="96" spans="1:64" ht="16.5" hidden="1" customHeight="1">
      <c r="A96" s="976"/>
      <c r="B96" s="507"/>
      <c r="C96" s="507">
        <f>IF(C95=EingabenÄnderungen!C127,C95,C94)</f>
        <v>0</v>
      </c>
      <c r="D96" s="507">
        <f>IF(D95=EingabenÄnderungen!D127,D95,D94)</f>
        <v>0</v>
      </c>
      <c r="E96" s="507">
        <f>IF(E95=EingabenÄnderungen!E127,E95,E94)</f>
        <v>0</v>
      </c>
      <c r="F96" s="507">
        <f>IF(F95=EingabenÄnderungen!F127,F95,F94)</f>
        <v>0</v>
      </c>
      <c r="G96" s="507">
        <f>IF(G95=EingabenÄnderungen!G127,G95,G94)</f>
        <v>0</v>
      </c>
      <c r="H96" s="507">
        <f>IF(H95=EingabenÄnderungen!H127,H95,H94)</f>
        <v>0</v>
      </c>
      <c r="I96" s="508">
        <f>IF(I95=EingabenÄnderungen!I127,I95,I94)</f>
        <v>0</v>
      </c>
      <c r="L96" s="818"/>
      <c r="M96" s="818"/>
      <c r="N96" s="818"/>
      <c r="O96" s="818"/>
      <c r="P96" s="818"/>
      <c r="Q96" s="818"/>
      <c r="R96" s="818"/>
      <c r="S96" s="818"/>
      <c r="T96" s="818"/>
      <c r="U96" s="818"/>
      <c r="V96" s="818"/>
      <c r="W96" s="818"/>
      <c r="X96" s="818"/>
      <c r="Y96" s="818"/>
      <c r="Z96" s="818"/>
      <c r="AA96" s="818"/>
      <c r="AB96" s="818"/>
      <c r="AC96" s="818"/>
      <c r="AD96" s="818"/>
      <c r="AE96" s="818"/>
      <c r="AF96" s="818"/>
      <c r="AG96" s="818"/>
      <c r="AH96" s="818"/>
      <c r="AI96" s="818"/>
      <c r="AJ96" s="818"/>
      <c r="AK96" s="818"/>
      <c r="AL96" s="818"/>
      <c r="AM96" s="818"/>
      <c r="AN96" s="818"/>
      <c r="AO96" s="818"/>
      <c r="AP96" s="818"/>
      <c r="AQ96" s="818"/>
      <c r="AR96" s="818"/>
      <c r="AS96" s="818"/>
      <c r="AT96" s="818"/>
      <c r="AU96" s="818"/>
      <c r="AV96" s="818"/>
      <c r="AW96" s="818"/>
      <c r="AX96" s="818"/>
      <c r="AY96" s="818"/>
      <c r="AZ96" s="818"/>
      <c r="BA96" s="818"/>
      <c r="BB96" s="818"/>
      <c r="BC96" s="818"/>
      <c r="BD96" s="818"/>
      <c r="BE96" s="818"/>
      <c r="BF96" s="818"/>
      <c r="BG96" s="818"/>
      <c r="BH96" s="818"/>
      <c r="BI96" s="818"/>
      <c r="BJ96" s="818"/>
      <c r="BK96" s="818"/>
      <c r="BL96" s="818"/>
    </row>
    <row r="97" spans="1:64" ht="16.5" hidden="1" customHeight="1">
      <c r="A97" s="1366"/>
      <c r="B97" s="507"/>
      <c r="C97" s="507">
        <f>IF(EingabenÄnderungen!C140=0,0,C96)</f>
        <v>0</v>
      </c>
      <c r="D97" s="507">
        <f>IF(EingabenÄnderungen!D140=0,0,D96)</f>
        <v>0</v>
      </c>
      <c r="E97" s="507">
        <f>IF(EingabenÄnderungen!E140=0,0,E96)</f>
        <v>0</v>
      </c>
      <c r="F97" s="507">
        <f>IF(EingabenÄnderungen!F140=0,0,F96)</f>
        <v>0</v>
      </c>
      <c r="G97" s="507">
        <f>IF(EingabenÄnderungen!G140=0,0,G96)</f>
        <v>0</v>
      </c>
      <c r="H97" s="507">
        <f>IF(EingabenÄnderungen!H140=0,0,H96)</f>
        <v>0</v>
      </c>
      <c r="I97" s="508">
        <f>IF(EingabenÄnderungen!I140=0,0,I96)</f>
        <v>0</v>
      </c>
      <c r="L97" s="818"/>
      <c r="M97" s="818"/>
      <c r="N97" s="818"/>
      <c r="O97" s="818"/>
      <c r="P97" s="818"/>
      <c r="Q97" s="818"/>
      <c r="R97" s="818"/>
      <c r="S97" s="818"/>
      <c r="T97" s="818"/>
      <c r="U97" s="818"/>
      <c r="V97" s="818"/>
      <c r="W97" s="818"/>
      <c r="X97" s="818"/>
      <c r="Y97" s="818"/>
      <c r="Z97" s="818"/>
      <c r="AA97" s="818"/>
      <c r="AB97" s="818"/>
      <c r="AC97" s="818"/>
      <c r="AD97" s="818"/>
      <c r="AE97" s="818"/>
      <c r="AF97" s="818"/>
      <c r="AG97" s="818"/>
      <c r="AH97" s="818"/>
      <c r="AI97" s="818"/>
      <c r="AJ97" s="818"/>
      <c r="AK97" s="818"/>
      <c r="AL97" s="818"/>
      <c r="AM97" s="818"/>
      <c r="AN97" s="818"/>
      <c r="AO97" s="818"/>
      <c r="AP97" s="818"/>
      <c r="AQ97" s="818"/>
      <c r="AR97" s="818"/>
      <c r="AS97" s="818"/>
      <c r="AT97" s="818"/>
      <c r="AU97" s="818"/>
      <c r="AV97" s="818"/>
      <c r="AW97" s="818"/>
      <c r="AX97" s="818"/>
      <c r="AY97" s="818"/>
      <c r="AZ97" s="818"/>
      <c r="BA97" s="818"/>
      <c r="BB97" s="818"/>
      <c r="BC97" s="818"/>
      <c r="BD97" s="818"/>
      <c r="BE97" s="818"/>
      <c r="BF97" s="818"/>
      <c r="BG97" s="818"/>
      <c r="BH97" s="818"/>
      <c r="BI97" s="818"/>
      <c r="BJ97" s="818"/>
      <c r="BK97" s="818"/>
      <c r="BL97" s="818"/>
    </row>
    <row r="98" spans="1:64">
      <c r="A98" s="976">
        <f>IF(B98&gt;0,"./. Fahrtkosten",0)</f>
        <v>0</v>
      </c>
      <c r="B98" s="1335">
        <f>SUM(C98:I98)</f>
        <v>0</v>
      </c>
      <c r="C98" s="1016">
        <f t="shared" ref="C98:I98" si="9">IF(AND(C114&gt;0,C54&lt;=400),0,IF(C75&lt;0,C97+C75,IF(C70=0,0,C97)))</f>
        <v>0</v>
      </c>
      <c r="D98" s="1016">
        <f t="shared" si="9"/>
        <v>0</v>
      </c>
      <c r="E98" s="1016">
        <f t="shared" si="9"/>
        <v>0</v>
      </c>
      <c r="F98" s="1016">
        <f t="shared" si="9"/>
        <v>0</v>
      </c>
      <c r="G98" s="1016">
        <f t="shared" si="9"/>
        <v>0</v>
      </c>
      <c r="H98" s="1016">
        <f t="shared" si="9"/>
        <v>0</v>
      </c>
      <c r="I98" s="1017">
        <f t="shared" si="9"/>
        <v>0</v>
      </c>
      <c r="L98" s="818"/>
      <c r="M98" s="818"/>
      <c r="N98" s="818"/>
      <c r="O98" s="818"/>
      <c r="P98" s="818"/>
      <c r="Q98" s="818"/>
      <c r="R98" s="818"/>
      <c r="S98" s="818"/>
      <c r="T98" s="818"/>
      <c r="U98" s="818"/>
      <c r="V98" s="818"/>
      <c r="W98" s="818"/>
      <c r="X98" s="818"/>
      <c r="Y98" s="818"/>
      <c r="Z98" s="818"/>
      <c r="AA98" s="818"/>
      <c r="AB98" s="818"/>
      <c r="AC98" s="818"/>
      <c r="AD98" s="818"/>
      <c r="AE98" s="818"/>
      <c r="AF98" s="818"/>
      <c r="AG98" s="818"/>
      <c r="AH98" s="818"/>
      <c r="AI98" s="818"/>
      <c r="AJ98" s="818"/>
      <c r="AK98" s="818"/>
      <c r="AL98" s="818"/>
      <c r="AM98" s="818"/>
      <c r="AN98" s="818"/>
      <c r="AO98" s="818"/>
      <c r="AP98" s="818"/>
      <c r="AQ98" s="818"/>
      <c r="AR98" s="818"/>
      <c r="AS98" s="818"/>
      <c r="AT98" s="818"/>
      <c r="AU98" s="818"/>
      <c r="AV98" s="818"/>
      <c r="AW98" s="818"/>
      <c r="AX98" s="818"/>
      <c r="AY98" s="818"/>
      <c r="AZ98" s="818"/>
      <c r="BA98" s="818"/>
      <c r="BB98" s="818"/>
      <c r="BC98" s="818"/>
      <c r="BD98" s="818"/>
      <c r="BE98" s="818"/>
      <c r="BF98" s="818"/>
      <c r="BG98" s="818"/>
      <c r="BH98" s="818"/>
      <c r="BI98" s="818"/>
      <c r="BJ98" s="818"/>
      <c r="BK98" s="818"/>
      <c r="BL98" s="818"/>
    </row>
    <row r="99" spans="1:64" ht="16.5" hidden="1" customHeight="1">
      <c r="A99" s="976"/>
      <c r="B99" s="522"/>
      <c r="C99" s="507">
        <f>IF(AND(EingabenÄnderungen!C160&gt;0,EingabenÄnderungen!C163=EingabenÄnderungen!C160),0,EingabenÄnderungen!C124)</f>
        <v>0</v>
      </c>
      <c r="D99" s="507">
        <f>IF(AND(EingabenÄnderungen!D160&gt;0,EingabenÄnderungen!D163=EingabenÄnderungen!D160),0,EingabenÄnderungen!D124)</f>
        <v>0</v>
      </c>
      <c r="E99" s="507">
        <f>IF(AND(EingabenÄnderungen!E160&gt;0,EingabenÄnderungen!E163=EingabenÄnderungen!E160),0,EingabenÄnderungen!E124)</f>
        <v>0</v>
      </c>
      <c r="F99" s="507">
        <f>IF(AND(EingabenÄnderungen!F160&gt;0,EingabenÄnderungen!F163=EingabenÄnderungen!F160),0,EingabenÄnderungen!F124)</f>
        <v>0</v>
      </c>
      <c r="G99" s="507">
        <f>IF(AND(EingabenÄnderungen!G160&gt;0,EingabenÄnderungen!G163=EingabenÄnderungen!G160),0,EingabenÄnderungen!G124)</f>
        <v>0</v>
      </c>
      <c r="H99" s="507">
        <f>IF(AND(EingabenÄnderungen!H160&gt;0,EingabenÄnderungen!H163=EingabenÄnderungen!H160),0,EingabenÄnderungen!H124)</f>
        <v>0</v>
      </c>
      <c r="I99" s="508">
        <f>IF(AND(EingabenÄnderungen!I160&gt;0,EingabenÄnderungen!I163=EingabenÄnderungen!I160),0,EingabenÄnderungen!I124)</f>
        <v>0</v>
      </c>
      <c r="L99" s="818"/>
      <c r="M99" s="818"/>
      <c r="N99" s="818"/>
      <c r="O99" s="818"/>
      <c r="P99" s="818"/>
      <c r="Q99" s="818"/>
      <c r="R99" s="818"/>
      <c r="S99" s="818"/>
      <c r="T99" s="818"/>
      <c r="U99" s="818"/>
      <c r="V99" s="818"/>
      <c r="W99" s="818"/>
      <c r="X99" s="818"/>
      <c r="Y99" s="818"/>
      <c r="Z99" s="818"/>
      <c r="AA99" s="818"/>
      <c r="AB99" s="818"/>
      <c r="AC99" s="818"/>
      <c r="AD99" s="818"/>
      <c r="AE99" s="818"/>
      <c r="AF99" s="818"/>
      <c r="AG99" s="818"/>
      <c r="AH99" s="818"/>
      <c r="AI99" s="818"/>
      <c r="AJ99" s="818"/>
      <c r="AK99" s="818"/>
      <c r="AL99" s="818"/>
      <c r="AM99" s="818"/>
      <c r="AN99" s="818"/>
      <c r="AO99" s="818"/>
      <c r="AP99" s="818"/>
      <c r="AQ99" s="818"/>
      <c r="AR99" s="818"/>
      <c r="AS99" s="818"/>
      <c r="AT99" s="818"/>
      <c r="AU99" s="818"/>
      <c r="AV99" s="818"/>
      <c r="AW99" s="818"/>
      <c r="AX99" s="818"/>
      <c r="AY99" s="818"/>
      <c r="AZ99" s="818"/>
      <c r="BA99" s="818"/>
      <c r="BB99" s="818"/>
      <c r="BC99" s="818"/>
      <c r="BD99" s="818"/>
      <c r="BE99" s="818"/>
      <c r="BF99" s="818"/>
      <c r="BG99" s="818"/>
      <c r="BH99" s="818"/>
      <c r="BI99" s="818"/>
      <c r="BJ99" s="818"/>
      <c r="BK99" s="818"/>
      <c r="BL99" s="818"/>
    </row>
    <row r="100" spans="1:64" ht="16.5" hidden="1" customHeight="1">
      <c r="A100" s="1366"/>
      <c r="B100" s="522"/>
      <c r="C100" s="507">
        <f>IF(AND(EingabenÄnderungen!C212&gt;C113,C78&lt;&gt;EingabenÄnderungen!C124),C99,0)</f>
        <v>0</v>
      </c>
      <c r="D100" s="507">
        <f>IF(AND(EingabenÄnderungen!D212&gt;D113,D78&lt;&gt;EingabenÄnderungen!D124),D99,0)</f>
        <v>0</v>
      </c>
      <c r="E100" s="507">
        <f>IF(AND(EingabenÄnderungen!E212&gt;E113,E78&lt;&gt;EingabenÄnderungen!E124),E99,0)</f>
        <v>0</v>
      </c>
      <c r="F100" s="507">
        <f>IF(AND(EingabenÄnderungen!F212&gt;F113,F78&lt;&gt;EingabenÄnderungen!F124),F99,0)</f>
        <v>0</v>
      </c>
      <c r="G100" s="507">
        <f>IF(AND(EingabenÄnderungen!G212&gt;G113,G78&lt;&gt;EingabenÄnderungen!G124),G99,0)</f>
        <v>0</v>
      </c>
      <c r="H100" s="507">
        <f>IF(AND(EingabenÄnderungen!H212&gt;H113,H78&lt;&gt;EingabenÄnderungen!H124),H99,0)</f>
        <v>0</v>
      </c>
      <c r="I100" s="508">
        <f>IF(AND(EingabenÄnderungen!I212&gt;I113,I78&lt;&gt;EingabenÄnderungen!I124),I99,0)</f>
        <v>0</v>
      </c>
      <c r="L100" s="818"/>
      <c r="M100" s="818"/>
      <c r="N100" s="818"/>
      <c r="O100" s="818"/>
      <c r="P100" s="818"/>
      <c r="Q100" s="818"/>
      <c r="R100" s="818"/>
      <c r="S100" s="818"/>
      <c r="T100" s="818"/>
      <c r="U100" s="818"/>
      <c r="V100" s="818"/>
      <c r="W100" s="818"/>
      <c r="X100" s="818"/>
      <c r="Y100" s="818"/>
      <c r="Z100" s="818"/>
      <c r="AA100" s="818"/>
      <c r="AB100" s="818"/>
      <c r="AC100" s="818"/>
      <c r="AD100" s="818"/>
      <c r="AE100" s="818"/>
      <c r="AF100" s="818"/>
      <c r="AG100" s="818"/>
      <c r="AH100" s="818"/>
      <c r="AI100" s="818"/>
      <c r="AJ100" s="818"/>
      <c r="AK100" s="818"/>
      <c r="AL100" s="818"/>
      <c r="AM100" s="818"/>
      <c r="AN100" s="818"/>
      <c r="AO100" s="818"/>
      <c r="AP100" s="818"/>
      <c r="AQ100" s="818"/>
      <c r="AR100" s="818"/>
      <c r="AS100" s="818"/>
      <c r="AT100" s="818"/>
      <c r="AU100" s="818"/>
      <c r="AV100" s="818"/>
      <c r="AW100" s="818"/>
      <c r="AX100" s="818"/>
      <c r="AY100" s="818"/>
      <c r="AZ100" s="818"/>
      <c r="BA100" s="818"/>
      <c r="BB100" s="818"/>
      <c r="BC100" s="818"/>
      <c r="BD100" s="818"/>
      <c r="BE100" s="818"/>
      <c r="BF100" s="818"/>
      <c r="BG100" s="818"/>
      <c r="BH100" s="818"/>
      <c r="BI100" s="818"/>
      <c r="BJ100" s="818"/>
      <c r="BK100" s="818"/>
      <c r="BL100" s="818"/>
    </row>
    <row r="101" spans="1:64" ht="16.5" hidden="1" customHeight="1">
      <c r="A101" s="976"/>
      <c r="B101" s="522"/>
      <c r="C101" s="507">
        <f>IF(C113=0,EingabenÄnderungen!C124,0)</f>
        <v>0</v>
      </c>
      <c r="D101" s="507">
        <f>IF(D113=0,EingabenÄnderungen!D124,0)</f>
        <v>0</v>
      </c>
      <c r="E101" s="507">
        <f>IF(E113=0,EingabenÄnderungen!E124,0)</f>
        <v>0</v>
      </c>
      <c r="F101" s="507">
        <f>IF(F113=0,EingabenÄnderungen!F124,0)</f>
        <v>0</v>
      </c>
      <c r="G101" s="507">
        <f>IF(G113=0,EingabenÄnderungen!G124,0)</f>
        <v>0</v>
      </c>
      <c r="H101" s="507">
        <f>IF(H113=0,EingabenÄnderungen!H124,0)</f>
        <v>0</v>
      </c>
      <c r="I101" s="508">
        <f>IF(I113=0,EingabenÄnderungen!I124,0)</f>
        <v>0</v>
      </c>
      <c r="L101" s="818"/>
      <c r="M101" s="818"/>
      <c r="N101" s="818"/>
      <c r="O101" s="818"/>
      <c r="P101" s="818"/>
      <c r="Q101" s="818"/>
      <c r="R101" s="818"/>
      <c r="S101" s="818"/>
      <c r="T101" s="818"/>
      <c r="U101" s="818"/>
      <c r="V101" s="818"/>
      <c r="W101" s="818"/>
      <c r="X101" s="818"/>
      <c r="Y101" s="818"/>
      <c r="Z101" s="818"/>
      <c r="AA101" s="818"/>
      <c r="AB101" s="818"/>
      <c r="AC101" s="818"/>
      <c r="AD101" s="818"/>
      <c r="AE101" s="818"/>
      <c r="AF101" s="818"/>
      <c r="AG101" s="818"/>
      <c r="AH101" s="818"/>
      <c r="AI101" s="818"/>
      <c r="AJ101" s="818"/>
      <c r="AK101" s="818"/>
      <c r="AL101" s="818"/>
      <c r="AM101" s="818"/>
      <c r="AN101" s="818"/>
      <c r="AO101" s="818"/>
      <c r="AP101" s="818"/>
      <c r="AQ101" s="818"/>
      <c r="AR101" s="818"/>
      <c r="AS101" s="818"/>
      <c r="AT101" s="818"/>
      <c r="AU101" s="818"/>
      <c r="AV101" s="818"/>
      <c r="AW101" s="818"/>
      <c r="AX101" s="818"/>
      <c r="AY101" s="818"/>
      <c r="AZ101" s="818"/>
      <c r="BA101" s="818"/>
      <c r="BB101" s="818"/>
      <c r="BC101" s="818"/>
      <c r="BD101" s="818"/>
      <c r="BE101" s="818"/>
      <c r="BF101" s="818"/>
      <c r="BG101" s="818"/>
      <c r="BH101" s="818"/>
      <c r="BI101" s="818"/>
      <c r="BJ101" s="818"/>
      <c r="BK101" s="818"/>
      <c r="BL101" s="818"/>
    </row>
    <row r="102" spans="1:64" ht="16.5" hidden="1" customHeight="1">
      <c r="A102" s="976"/>
      <c r="B102" s="522"/>
      <c r="C102" s="507">
        <f>IF(C101=EingabenÄnderungen!C124,C101,C99)</f>
        <v>0</v>
      </c>
      <c r="D102" s="507">
        <f>IF(D101=EingabenÄnderungen!D124,D101,D99)</f>
        <v>0</v>
      </c>
      <c r="E102" s="507">
        <f>IF(E101=EingabenÄnderungen!E124,E101,E99)</f>
        <v>0</v>
      </c>
      <c r="F102" s="507">
        <f>IF(F101=EingabenÄnderungen!F124,F101,F99)</f>
        <v>0</v>
      </c>
      <c r="G102" s="507">
        <f>IF(G101=EingabenÄnderungen!G124,G101,G99)</f>
        <v>0</v>
      </c>
      <c r="H102" s="507">
        <f>IF(H101=EingabenÄnderungen!H124,H101,H99)</f>
        <v>0</v>
      </c>
      <c r="I102" s="508">
        <f>IF(I101=EingabenÄnderungen!I124,I101,I99)</f>
        <v>0</v>
      </c>
      <c r="L102" s="818"/>
      <c r="M102" s="818"/>
      <c r="N102" s="818"/>
      <c r="O102" s="818"/>
      <c r="P102" s="818"/>
      <c r="Q102" s="818"/>
      <c r="R102" s="818"/>
      <c r="S102" s="818"/>
      <c r="T102" s="818"/>
      <c r="U102" s="818"/>
      <c r="V102" s="818"/>
      <c r="W102" s="818"/>
      <c r="X102" s="818"/>
      <c r="Y102" s="818"/>
      <c r="Z102" s="818"/>
      <c r="AA102" s="818"/>
      <c r="AB102" s="818"/>
      <c r="AC102" s="818"/>
      <c r="AD102" s="818"/>
      <c r="AE102" s="818"/>
      <c r="AF102" s="818"/>
      <c r="AG102" s="818"/>
      <c r="AH102" s="818"/>
      <c r="AI102" s="818"/>
      <c r="AJ102" s="818"/>
      <c r="AK102" s="818"/>
      <c r="AL102" s="818"/>
      <c r="AM102" s="818"/>
      <c r="AN102" s="818"/>
      <c r="AO102" s="818"/>
      <c r="AP102" s="818"/>
      <c r="AQ102" s="818"/>
      <c r="AR102" s="818"/>
      <c r="AS102" s="818"/>
      <c r="AT102" s="818"/>
      <c r="AU102" s="818"/>
      <c r="AV102" s="818"/>
      <c r="AW102" s="818"/>
      <c r="AX102" s="818"/>
      <c r="AY102" s="818"/>
      <c r="AZ102" s="818"/>
      <c r="BA102" s="818"/>
      <c r="BB102" s="818"/>
      <c r="BC102" s="818"/>
      <c r="BD102" s="818"/>
      <c r="BE102" s="818"/>
      <c r="BF102" s="818"/>
      <c r="BG102" s="818"/>
      <c r="BH102" s="818"/>
      <c r="BI102" s="818"/>
      <c r="BJ102" s="818"/>
      <c r="BK102" s="818"/>
      <c r="BL102" s="818"/>
    </row>
    <row r="103" spans="1:64" ht="16.5" hidden="1" customHeight="1">
      <c r="A103" s="1366"/>
      <c r="B103" s="522"/>
      <c r="C103" s="507">
        <f>IF(EingabenÄnderungen!C140=0,0,C102)</f>
        <v>0</v>
      </c>
      <c r="D103" s="507">
        <f>IF(EingabenÄnderungen!D140=0,0,D102)</f>
        <v>0</v>
      </c>
      <c r="E103" s="507">
        <f>IF(EingabenÄnderungen!E140=0,0,E102)</f>
        <v>0</v>
      </c>
      <c r="F103" s="507">
        <f>IF(EingabenÄnderungen!F140=0,0,F102)</f>
        <v>0</v>
      </c>
      <c r="G103" s="507">
        <f>IF(EingabenÄnderungen!G140=0,0,G102)</f>
        <v>0</v>
      </c>
      <c r="H103" s="507">
        <f>IF(EingabenÄnderungen!H140=0,0,H102)</f>
        <v>0</v>
      </c>
      <c r="I103" s="508">
        <f>IF(EingabenÄnderungen!I140=0,0,I102)</f>
        <v>0</v>
      </c>
      <c r="L103" s="818"/>
      <c r="M103" s="818"/>
      <c r="N103" s="818"/>
      <c r="O103" s="818"/>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18"/>
      <c r="AY103" s="818"/>
      <c r="AZ103" s="818"/>
      <c r="BA103" s="818"/>
      <c r="BB103" s="818"/>
      <c r="BC103" s="818"/>
      <c r="BD103" s="818"/>
      <c r="BE103" s="818"/>
      <c r="BF103" s="818"/>
      <c r="BG103" s="818"/>
      <c r="BH103" s="818"/>
      <c r="BI103" s="818"/>
      <c r="BJ103" s="818"/>
      <c r="BK103" s="818"/>
      <c r="BL103" s="818"/>
    </row>
    <row r="104" spans="1:64" ht="16.5" customHeight="1">
      <c r="A104" s="976">
        <f>IF(B104&gt;0,"./. Verpflegungsmehraufwand",0)</f>
        <v>0</v>
      </c>
      <c r="B104" s="1335">
        <f>SUM(C104:I104)</f>
        <v>0</v>
      </c>
      <c r="C104" s="1016">
        <f t="shared" ref="C104:I104" si="10">IF(AND(C114&gt;0,C54&lt;=400),0,IF(C70=0,0,C103))</f>
        <v>0</v>
      </c>
      <c r="D104" s="1016">
        <f t="shared" si="10"/>
        <v>0</v>
      </c>
      <c r="E104" s="1016">
        <f t="shared" si="10"/>
        <v>0</v>
      </c>
      <c r="F104" s="1016">
        <f t="shared" si="10"/>
        <v>0</v>
      </c>
      <c r="G104" s="1016">
        <f t="shared" si="10"/>
        <v>0</v>
      </c>
      <c r="H104" s="1016">
        <f t="shared" si="10"/>
        <v>0</v>
      </c>
      <c r="I104" s="1017">
        <f t="shared" si="10"/>
        <v>0</v>
      </c>
      <c r="L104" s="818"/>
      <c r="M104" s="818"/>
      <c r="N104" s="818"/>
      <c r="O104" s="818"/>
      <c r="P104" s="818"/>
      <c r="Q104" s="818"/>
      <c r="R104" s="818"/>
      <c r="S104" s="818"/>
      <c r="T104" s="818"/>
      <c r="U104" s="818"/>
      <c r="V104" s="818"/>
      <c r="W104" s="818"/>
      <c r="X104" s="818"/>
      <c r="Y104" s="818"/>
      <c r="Z104" s="818"/>
      <c r="AA104" s="818"/>
      <c r="AB104" s="818"/>
      <c r="AC104" s="818"/>
      <c r="AD104" s="818"/>
      <c r="AE104" s="818"/>
      <c r="AF104" s="818"/>
      <c r="AG104" s="818"/>
      <c r="AH104" s="818"/>
      <c r="AI104" s="818"/>
      <c r="AJ104" s="818"/>
      <c r="AK104" s="818"/>
      <c r="AL104" s="818"/>
      <c r="AM104" s="818"/>
      <c r="AN104" s="818"/>
      <c r="AO104" s="818"/>
      <c r="AP104" s="818"/>
      <c r="AQ104" s="818"/>
      <c r="AR104" s="818"/>
      <c r="AS104" s="818"/>
      <c r="AT104" s="818"/>
      <c r="AU104" s="818"/>
      <c r="AV104" s="818"/>
      <c r="AW104" s="818"/>
      <c r="AX104" s="818"/>
      <c r="AY104" s="818"/>
      <c r="AZ104" s="818"/>
      <c r="BA104" s="818"/>
      <c r="BB104" s="818"/>
      <c r="BC104" s="818"/>
      <c r="BD104" s="818"/>
      <c r="BE104" s="818"/>
      <c r="BF104" s="818"/>
      <c r="BG104" s="818"/>
      <c r="BH104" s="818"/>
      <c r="BI104" s="818"/>
      <c r="BJ104" s="818"/>
      <c r="BK104" s="818"/>
      <c r="BL104" s="818"/>
    </row>
    <row r="105" spans="1:64" ht="16.5" hidden="1" customHeight="1">
      <c r="A105" s="976"/>
      <c r="B105" s="522"/>
      <c r="C105" s="507">
        <f>IF(AND(EingabenÄnderungen!C160&gt;0,EingabenÄnderungen!C163=EingabenÄnderungen!C160),0,EingabenÄnderungen!C148)</f>
        <v>0</v>
      </c>
      <c r="D105" s="507">
        <f>IF(AND(EingabenÄnderungen!D160&gt;0,EingabenÄnderungen!D163=EingabenÄnderungen!D160),0,EingabenÄnderungen!D148)</f>
        <v>0</v>
      </c>
      <c r="E105" s="507">
        <f>IF(AND(EingabenÄnderungen!E160&gt;0,EingabenÄnderungen!E163=EingabenÄnderungen!E160),0,EingabenÄnderungen!E148)</f>
        <v>0</v>
      </c>
      <c r="F105" s="507">
        <f>IF(AND(EingabenÄnderungen!F160&gt;0,EingabenÄnderungen!F163=EingabenÄnderungen!F160),0,EingabenÄnderungen!F148)</f>
        <v>0</v>
      </c>
      <c r="G105" s="507">
        <f>IF(AND(EingabenÄnderungen!G160&gt;0,EingabenÄnderungen!G163=EingabenÄnderungen!G160),0,EingabenÄnderungen!G148)</f>
        <v>0</v>
      </c>
      <c r="H105" s="507">
        <f>IF(AND(EingabenÄnderungen!H160&gt;0,EingabenÄnderungen!H163=EingabenÄnderungen!H160),0,EingabenÄnderungen!H148)</f>
        <v>0</v>
      </c>
      <c r="I105" s="508">
        <f>IF(AND(EingabenÄnderungen!I160&gt;0,EingabenÄnderungen!I163=EingabenÄnderungen!I160),0,EingabenÄnderungen!I148)</f>
        <v>0</v>
      </c>
      <c r="L105" s="818"/>
      <c r="M105" s="818"/>
      <c r="N105" s="818"/>
      <c r="O105" s="818"/>
      <c r="P105" s="818"/>
      <c r="Q105" s="818"/>
      <c r="R105" s="818"/>
      <c r="S105" s="818"/>
      <c r="T105" s="818"/>
      <c r="U105" s="818"/>
      <c r="V105" s="818"/>
      <c r="W105" s="818"/>
      <c r="X105" s="818"/>
      <c r="Y105" s="818"/>
      <c r="Z105" s="818"/>
      <c r="AA105" s="818"/>
      <c r="AB105" s="818"/>
      <c r="AC105" s="818"/>
      <c r="AD105" s="818"/>
      <c r="AE105" s="818"/>
      <c r="AF105" s="818"/>
      <c r="AG105" s="818"/>
      <c r="AH105" s="818"/>
      <c r="AI105" s="818"/>
      <c r="AJ105" s="818"/>
      <c r="AK105" s="818"/>
      <c r="AL105" s="818"/>
      <c r="AM105" s="818"/>
      <c r="AN105" s="818"/>
      <c r="AO105" s="818"/>
      <c r="AP105" s="818"/>
      <c r="AQ105" s="818"/>
      <c r="AR105" s="818"/>
      <c r="AS105" s="818"/>
      <c r="AT105" s="818"/>
      <c r="AU105" s="818"/>
      <c r="AV105" s="818"/>
      <c r="AW105" s="818"/>
      <c r="AX105" s="818"/>
      <c r="AY105" s="818"/>
      <c r="AZ105" s="818"/>
      <c r="BA105" s="818"/>
      <c r="BB105" s="818"/>
      <c r="BC105" s="818"/>
      <c r="BD105" s="818"/>
      <c r="BE105" s="818"/>
      <c r="BF105" s="818"/>
      <c r="BG105" s="818"/>
      <c r="BH105" s="818"/>
      <c r="BI105" s="818"/>
      <c r="BJ105" s="818"/>
      <c r="BK105" s="818"/>
      <c r="BL105" s="818"/>
    </row>
    <row r="106" spans="1:64" ht="16.5" hidden="1" customHeight="1">
      <c r="A106" s="976"/>
      <c r="B106" s="522"/>
      <c r="C106" s="507">
        <f>IF(C113=0,EingabenÄnderungen!C148,0)</f>
        <v>0</v>
      </c>
      <c r="D106" s="507">
        <f>IF(D113=0,EingabenÄnderungen!D148,0)</f>
        <v>0</v>
      </c>
      <c r="E106" s="507">
        <f>IF(E113=0,EingabenÄnderungen!E148,0)</f>
        <v>0</v>
      </c>
      <c r="F106" s="507">
        <f>IF(F113=0,EingabenÄnderungen!F148,0)</f>
        <v>0</v>
      </c>
      <c r="G106" s="507">
        <f>IF(G113=0,EingabenÄnderungen!G148,0)</f>
        <v>0</v>
      </c>
      <c r="H106" s="507">
        <f>IF(H113=0,EingabenÄnderungen!H148,0)</f>
        <v>0</v>
      </c>
      <c r="I106" s="508">
        <f>IF(I113=0,EingabenÄnderungen!I148,0)</f>
        <v>0</v>
      </c>
      <c r="L106" s="818"/>
      <c r="M106" s="818"/>
      <c r="N106" s="818"/>
      <c r="O106" s="818"/>
      <c r="P106" s="818"/>
      <c r="Q106" s="818"/>
      <c r="R106" s="818"/>
      <c r="S106" s="818"/>
      <c r="T106" s="818"/>
      <c r="U106" s="818"/>
      <c r="V106" s="818"/>
      <c r="W106" s="818"/>
      <c r="X106" s="818"/>
      <c r="Y106" s="818"/>
      <c r="Z106" s="818"/>
      <c r="AA106" s="818"/>
      <c r="AB106" s="818"/>
      <c r="AC106" s="818"/>
      <c r="AD106" s="818"/>
      <c r="AE106" s="818"/>
      <c r="AF106" s="818"/>
      <c r="AG106" s="818"/>
      <c r="AH106" s="818"/>
      <c r="AI106" s="818"/>
      <c r="AJ106" s="818"/>
      <c r="AK106" s="818"/>
      <c r="AL106" s="818"/>
      <c r="AM106" s="818"/>
      <c r="AN106" s="818"/>
      <c r="AO106" s="818"/>
      <c r="AP106" s="818"/>
      <c r="AQ106" s="818"/>
      <c r="AR106" s="818"/>
      <c r="AS106" s="818"/>
      <c r="AT106" s="818"/>
      <c r="AU106" s="818"/>
      <c r="AV106" s="818"/>
      <c r="AW106" s="818"/>
      <c r="AX106" s="818"/>
      <c r="AY106" s="818"/>
      <c r="AZ106" s="818"/>
      <c r="BA106" s="818"/>
      <c r="BB106" s="818"/>
      <c r="BC106" s="818"/>
      <c r="BD106" s="818"/>
      <c r="BE106" s="818"/>
      <c r="BF106" s="818"/>
      <c r="BG106" s="818"/>
      <c r="BH106" s="818"/>
      <c r="BI106" s="818"/>
      <c r="BJ106" s="818"/>
      <c r="BK106" s="818"/>
      <c r="BL106" s="818"/>
    </row>
    <row r="107" spans="1:64" ht="16.5" hidden="1" customHeight="1">
      <c r="A107" s="1341"/>
      <c r="B107" s="522"/>
      <c r="C107" s="507">
        <f t="shared" ref="C107:I107" si="11">IF(C106&gt;0,C106,C105)</f>
        <v>0</v>
      </c>
      <c r="D107" s="507">
        <f t="shared" si="11"/>
        <v>0</v>
      </c>
      <c r="E107" s="507">
        <f t="shared" si="11"/>
        <v>0</v>
      </c>
      <c r="F107" s="507">
        <f t="shared" si="11"/>
        <v>0</v>
      </c>
      <c r="G107" s="507">
        <f t="shared" si="11"/>
        <v>0</v>
      </c>
      <c r="H107" s="507">
        <f t="shared" si="11"/>
        <v>0</v>
      </c>
      <c r="I107" s="508">
        <f t="shared" si="11"/>
        <v>0</v>
      </c>
      <c r="L107" s="818"/>
      <c r="M107" s="818"/>
      <c r="N107" s="818"/>
      <c r="O107" s="818"/>
      <c r="P107" s="818"/>
      <c r="Q107" s="818"/>
      <c r="R107" s="818"/>
      <c r="S107" s="818"/>
      <c r="T107" s="818"/>
      <c r="U107" s="818"/>
      <c r="V107" s="818"/>
      <c r="W107" s="818"/>
      <c r="X107" s="818"/>
      <c r="Y107" s="818"/>
      <c r="Z107" s="818"/>
      <c r="AA107" s="818"/>
      <c r="AB107" s="818"/>
      <c r="AC107" s="818"/>
      <c r="AD107" s="818"/>
      <c r="AE107" s="818"/>
      <c r="AF107" s="818"/>
      <c r="AG107" s="818"/>
      <c r="AH107" s="818"/>
      <c r="AI107" s="818"/>
      <c r="AJ107" s="818"/>
      <c r="AK107" s="818"/>
      <c r="AL107" s="818"/>
      <c r="AM107" s="818"/>
      <c r="AN107" s="818"/>
      <c r="AO107" s="818"/>
      <c r="AP107" s="818"/>
      <c r="AQ107" s="818"/>
      <c r="AR107" s="818"/>
      <c r="AS107" s="818"/>
      <c r="AT107" s="818"/>
      <c r="AU107" s="818"/>
      <c r="AV107" s="818"/>
      <c r="AW107" s="818"/>
      <c r="AX107" s="818"/>
      <c r="AY107" s="818"/>
      <c r="AZ107" s="818"/>
      <c r="BA107" s="818"/>
      <c r="BB107" s="818"/>
      <c r="BC107" s="818"/>
      <c r="BD107" s="818"/>
      <c r="BE107" s="818"/>
      <c r="BF107" s="818"/>
      <c r="BG107" s="818"/>
      <c r="BH107" s="818"/>
      <c r="BI107" s="818"/>
      <c r="BJ107" s="818"/>
      <c r="BK107" s="818"/>
      <c r="BL107" s="818"/>
    </row>
    <row r="108" spans="1:64">
      <c r="A108" s="1339">
        <f>IF(B108&gt;0,"./. Werbungskosten bei Erwerbstätigkeit",0)</f>
        <v>0</v>
      </c>
      <c r="B108" s="1335">
        <f>SUM(C108:I108)</f>
        <v>0</v>
      </c>
      <c r="C108" s="507">
        <f>IF(AND(C114&gt;0,C54&lt;=400),0,IF(AND(C58&gt;200,EingabenÄnderungen!C158&gt;EingabenÄnderungen!C156),EingabenÄnderungen!C147,IF(AND($A$57="Gewinn aus selbständiger Tätigkeit",C57&gt;0),0,IF(AND(C54&lt;100,C58&lt;200,C69&gt;0),0,C107))))</f>
        <v>0</v>
      </c>
      <c r="D108" s="507">
        <f>IF(AND(D114&gt;0,D54&lt;=400),0,IF(AND(D58&gt;200,EingabenÄnderungen!D158&gt;EingabenÄnderungen!D156),EingabenÄnderungen!D147,IF(AND($A$57="Gewinn aus selbständiger Tätigkeit",D57&gt;0),0,IF(AND(D54&lt;100,D58&lt;200,D69&gt;0),0,D107))))</f>
        <v>0</v>
      </c>
      <c r="E108" s="507">
        <f>IF(AND(E114&gt;0,E54&lt;=400),0,IF(AND(E58&gt;200,EingabenÄnderungen!E158&gt;EingabenÄnderungen!E156),EingabenÄnderungen!E147,IF(AND($A$57="Gewinn aus selbständiger Tätigkeit",E57&gt;0),0,IF(AND(E54&lt;100,E58&lt;200,E69&gt;0),0,E107))))</f>
        <v>0</v>
      </c>
      <c r="F108" s="507">
        <f>IF(AND(F114&gt;0,F54&lt;=400),0,IF(AND(F58&gt;200,EingabenÄnderungen!F158&gt;EingabenÄnderungen!F156),EingabenÄnderungen!F147,IF(AND($A$57="Gewinn aus selbständiger Tätigkeit",F57&gt;0),0,IF(AND(F54&lt;100,F58&lt;200,F69&gt;0),0,F107))))</f>
        <v>0</v>
      </c>
      <c r="G108" s="507">
        <f>IF(AND(G114&gt;0,G54&lt;=400),0,IF(AND(G58&gt;200,EingabenÄnderungen!G158&gt;EingabenÄnderungen!G156),EingabenÄnderungen!G147,IF(AND($A$57="Gewinn aus selbständiger Tätigkeit",G57&gt;0),0,IF(AND(G54&lt;100,G58&lt;200,G69&gt;0),0,G107))))</f>
        <v>0</v>
      </c>
      <c r="H108" s="507">
        <f>IF(AND(H114&gt;0,H54&lt;=400),0,IF(AND(H58&gt;200,EingabenÄnderungen!H158&gt;EingabenÄnderungen!H156),EingabenÄnderungen!H147,IF(AND($A$57="Gewinn aus selbständiger Tätigkeit",H57&gt;0),0,IF(AND(H54&lt;100,H58&lt;200,H69&gt;0),0,H107))))</f>
        <v>0</v>
      </c>
      <c r="I108" s="508">
        <f>IF(AND(I114&gt;0,I54&lt;=400),0,IF(AND(I58&gt;200,EingabenÄnderungen!I158&gt;EingabenÄnderungen!I156),EingabenÄnderungen!I147,IF(AND($A$57="Gewinn aus selbständiger Tätigkeit",I57&gt;0),0,IF(AND(I54&lt;100,I58&lt;200,I69&gt;0),0,I107))))</f>
        <v>0</v>
      </c>
      <c r="L108" s="818"/>
      <c r="M108" s="818"/>
      <c r="N108" s="818"/>
      <c r="O108" s="818"/>
      <c r="P108" s="818"/>
      <c r="Q108" s="818"/>
      <c r="R108" s="818"/>
      <c r="S108" s="818"/>
      <c r="T108" s="818"/>
      <c r="U108" s="818"/>
      <c r="V108" s="818"/>
      <c r="W108" s="818"/>
      <c r="X108" s="818"/>
      <c r="Y108" s="818"/>
      <c r="Z108" s="818"/>
      <c r="AA108" s="818"/>
      <c r="AB108" s="818"/>
      <c r="AC108" s="818"/>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18"/>
      <c r="AY108" s="818"/>
      <c r="AZ108" s="818"/>
      <c r="BA108" s="818"/>
      <c r="BB108" s="818"/>
      <c r="BC108" s="818"/>
      <c r="BD108" s="818"/>
      <c r="BE108" s="818"/>
      <c r="BF108" s="818"/>
      <c r="BG108" s="818"/>
      <c r="BH108" s="818"/>
      <c r="BI108" s="818"/>
      <c r="BJ108" s="818"/>
      <c r="BK108" s="818"/>
      <c r="BL108" s="818"/>
    </row>
    <row r="109" spans="1:64">
      <c r="A109" s="1339">
        <f>IF(B109&gt;0,"./. notwendige Ausgaben",0)</f>
        <v>0</v>
      </c>
      <c r="B109" s="1335">
        <f>SUM(C109:I109)</f>
        <v>0</v>
      </c>
      <c r="C109" s="507">
        <f>EingabenÄnderungen!C215</f>
        <v>0</v>
      </c>
      <c r="D109" s="507">
        <f>EingabenÄnderungen!D215</f>
        <v>0</v>
      </c>
      <c r="E109" s="507">
        <f>EingabenÄnderungen!E215</f>
        <v>0</v>
      </c>
      <c r="F109" s="507">
        <f>EingabenÄnderungen!F215</f>
        <v>0</v>
      </c>
      <c r="G109" s="507">
        <f>EingabenÄnderungen!G215</f>
        <v>0</v>
      </c>
      <c r="H109" s="507">
        <f>EingabenÄnderungen!H215</f>
        <v>0</v>
      </c>
      <c r="I109" s="508">
        <f>EingabenÄnderungen!I215</f>
        <v>0</v>
      </c>
      <c r="L109" s="818"/>
      <c r="M109" s="818"/>
      <c r="N109" s="818"/>
      <c r="O109" s="818"/>
      <c r="P109" s="818"/>
      <c r="Q109" s="818"/>
      <c r="R109" s="818"/>
      <c r="S109" s="818"/>
      <c r="T109" s="818"/>
      <c r="U109" s="818"/>
      <c r="V109" s="818"/>
      <c r="W109" s="818"/>
      <c r="X109" s="818"/>
      <c r="Y109" s="818"/>
      <c r="Z109" s="818"/>
      <c r="AA109" s="818"/>
      <c r="AB109" s="818"/>
      <c r="AC109" s="818"/>
      <c r="AD109" s="818"/>
      <c r="AE109" s="818"/>
      <c r="AF109" s="818"/>
      <c r="AG109" s="818"/>
      <c r="AH109" s="818"/>
      <c r="AI109" s="818"/>
      <c r="AJ109" s="818"/>
      <c r="AK109" s="818"/>
      <c r="AL109" s="818"/>
      <c r="AM109" s="818"/>
      <c r="AN109" s="818"/>
      <c r="AO109" s="818"/>
      <c r="AP109" s="818"/>
      <c r="AQ109" s="818"/>
      <c r="AR109" s="818"/>
      <c r="AS109" s="818"/>
      <c r="AT109" s="818"/>
      <c r="AU109" s="818"/>
      <c r="AV109" s="818"/>
      <c r="AW109" s="818"/>
      <c r="AX109" s="818"/>
      <c r="AY109" s="818"/>
      <c r="AZ109" s="818"/>
      <c r="BA109" s="818"/>
      <c r="BB109" s="818"/>
      <c r="BC109" s="818"/>
      <c r="BD109" s="818"/>
      <c r="BE109" s="818"/>
      <c r="BF109" s="818"/>
      <c r="BG109" s="818"/>
      <c r="BH109" s="818"/>
      <c r="BI109" s="818"/>
      <c r="BJ109" s="818"/>
      <c r="BK109" s="818"/>
      <c r="BL109" s="818"/>
    </row>
    <row r="110" spans="1:64" ht="16.5" hidden="1" customHeight="1">
      <c r="A110" s="1341"/>
      <c r="B110" s="522"/>
      <c r="C110" s="522">
        <f>IF(EingabenÄnderungen!C160&gt;200,0,EingabenÄnderungen!C160)</f>
        <v>0</v>
      </c>
      <c r="D110" s="522">
        <f>IF(EingabenÄnderungen!D160&gt;200,0,EingabenÄnderungen!D160)</f>
        <v>0</v>
      </c>
      <c r="E110" s="522">
        <f>IF(EingabenÄnderungen!E160&gt;200,0,EingabenÄnderungen!E160)</f>
        <v>0</v>
      </c>
      <c r="F110" s="522">
        <f>IF(EingabenÄnderungen!F160&gt;200,0,EingabenÄnderungen!F160)</f>
        <v>0</v>
      </c>
      <c r="G110" s="522">
        <f>IF(EingabenÄnderungen!G160&gt;200,0,EingabenÄnderungen!G160)</f>
        <v>0</v>
      </c>
      <c r="H110" s="522">
        <f>IF(EingabenÄnderungen!H160&gt;200,0,EingabenÄnderungen!H160)</f>
        <v>0</v>
      </c>
      <c r="I110" s="523">
        <f>IF(EingabenÄnderungen!I160&gt;200,0,EingabenÄnderungen!I160)</f>
        <v>0</v>
      </c>
      <c r="L110" s="818"/>
      <c r="M110" s="818"/>
      <c r="N110" s="818"/>
      <c r="O110" s="818"/>
      <c r="P110" s="818"/>
      <c r="Q110" s="818"/>
      <c r="R110" s="818"/>
      <c r="S110" s="818"/>
      <c r="T110" s="818"/>
      <c r="U110" s="818"/>
      <c r="V110" s="818"/>
      <c r="W110" s="818"/>
      <c r="X110" s="818"/>
      <c r="Y110" s="818"/>
      <c r="Z110" s="818"/>
      <c r="AA110" s="818"/>
      <c r="AB110" s="818"/>
      <c r="AC110" s="818"/>
      <c r="AD110" s="818"/>
      <c r="AE110" s="818"/>
      <c r="AF110" s="818"/>
      <c r="AG110" s="818"/>
      <c r="AH110" s="818"/>
      <c r="AI110" s="818"/>
      <c r="AJ110" s="818"/>
      <c r="AK110" s="818"/>
      <c r="AL110" s="818"/>
      <c r="AM110" s="818"/>
      <c r="AN110" s="818"/>
      <c r="AO110" s="818"/>
      <c r="AP110" s="818"/>
      <c r="AQ110" s="818"/>
      <c r="AR110" s="818"/>
      <c r="AS110" s="818"/>
      <c r="AT110" s="818"/>
      <c r="AU110" s="818"/>
      <c r="AV110" s="818"/>
      <c r="AW110" s="818"/>
      <c r="AX110" s="818"/>
      <c r="AY110" s="818"/>
      <c r="AZ110" s="818"/>
      <c r="BA110" s="818"/>
      <c r="BB110" s="818"/>
      <c r="BC110" s="818"/>
      <c r="BD110" s="818"/>
      <c r="BE110" s="818"/>
      <c r="BF110" s="818"/>
      <c r="BG110" s="818"/>
      <c r="BH110" s="818"/>
      <c r="BI110" s="818"/>
      <c r="BJ110" s="818"/>
      <c r="BK110" s="818"/>
      <c r="BL110" s="818"/>
    </row>
    <row r="111" spans="1:64" ht="16.5" hidden="1" customHeight="1">
      <c r="A111" s="1341"/>
      <c r="B111" s="522"/>
      <c r="C111" s="522">
        <f>IF(AND(EingabenÄnderungen!C131+EingabenÄnderungen!C139&gt;400,EingabenÄnderungen!C159&gt;100,EingabenÄnderungen!C138&gt;0,EingabenÄnderungen!C158+100&gt;EingabenÄnderungen!C159),EingabenÄnderungen!C158+100,IF(OR(EingabenÄnderungen!C152&gt;100,EingabenÄnderungen!C155&gt;100),0,IF(AND(EingabenÄnderungen!C178&gt;0,EingabenÄnderungen!C189&gt;100+EingabenÄnderungen!C188),0,C110)))</f>
        <v>0</v>
      </c>
      <c r="D111" s="522">
        <f>IF(AND(EingabenÄnderungen!D131+EingabenÄnderungen!D139&gt;400,EingabenÄnderungen!D159&gt;100,EingabenÄnderungen!D138&gt;0,EingabenÄnderungen!D158+100&gt;EingabenÄnderungen!D159),EingabenÄnderungen!D158+100,IF(OR(EingabenÄnderungen!D152&gt;100,EingabenÄnderungen!D155&gt;100),0,IF(AND(EingabenÄnderungen!D178&gt;0,EingabenÄnderungen!D189&gt;100+EingabenÄnderungen!D188),0,D110)))</f>
        <v>0</v>
      </c>
      <c r="E111" s="522">
        <f>IF(AND(EingabenÄnderungen!E131+EingabenÄnderungen!E139&gt;400,EingabenÄnderungen!E159&gt;100,EingabenÄnderungen!E138&gt;0,EingabenÄnderungen!E158+100&gt;EingabenÄnderungen!E159),EingabenÄnderungen!E158+100,IF(OR(EingabenÄnderungen!E152&gt;100,EingabenÄnderungen!E155&gt;100),0,IF(AND(EingabenÄnderungen!E178&gt;0,EingabenÄnderungen!E189&gt;100+EingabenÄnderungen!E188),0,E110)))</f>
        <v>0</v>
      </c>
      <c r="F111" s="522">
        <f>IF(AND(EingabenÄnderungen!F131+EingabenÄnderungen!F139&gt;400,EingabenÄnderungen!F159&gt;100,EingabenÄnderungen!F138&gt;0,EingabenÄnderungen!F158+100&gt;EingabenÄnderungen!F159),EingabenÄnderungen!F158+100,IF(OR(EingabenÄnderungen!F152&gt;100,EingabenÄnderungen!F155&gt;100),0,IF(AND(EingabenÄnderungen!F178&gt;0,EingabenÄnderungen!F189&gt;100+EingabenÄnderungen!F188),0,F110)))</f>
        <v>0</v>
      </c>
      <c r="G111" s="522">
        <f>IF(AND(EingabenÄnderungen!G131+EingabenÄnderungen!G139&gt;400,EingabenÄnderungen!G159&gt;100,EingabenÄnderungen!G138&gt;0,EingabenÄnderungen!G158+100&gt;EingabenÄnderungen!G159),EingabenÄnderungen!G158+100,IF(OR(EingabenÄnderungen!G152&gt;100,EingabenÄnderungen!G155&gt;100),0,IF(AND(EingabenÄnderungen!G178&gt;0,EingabenÄnderungen!G189&gt;100+EingabenÄnderungen!G188),0,G110)))</f>
        <v>0</v>
      </c>
      <c r="H111" s="522">
        <f>IF(AND(EingabenÄnderungen!H131+EingabenÄnderungen!H139&gt;400,EingabenÄnderungen!H159&gt;100,EingabenÄnderungen!H138&gt;0,EingabenÄnderungen!H158+100&gt;EingabenÄnderungen!H159),EingabenÄnderungen!H158+100,IF(OR(EingabenÄnderungen!H152&gt;100,EingabenÄnderungen!H155&gt;100),0,IF(AND(EingabenÄnderungen!H178&gt;0,EingabenÄnderungen!H189&gt;100+EingabenÄnderungen!H188),0,H110)))</f>
        <v>0</v>
      </c>
      <c r="I111" s="523">
        <f>IF(AND(EingabenÄnderungen!I131+EingabenÄnderungen!I139&gt;400,EingabenÄnderungen!I159&gt;100,EingabenÄnderungen!I138&gt;0,EingabenÄnderungen!I158+100&gt;EingabenÄnderungen!I159),EingabenÄnderungen!I158+100,IF(OR(EingabenÄnderungen!I152&gt;100,EingabenÄnderungen!I155&gt;100),0,IF(AND(EingabenÄnderungen!I178&gt;0,EingabenÄnderungen!I189&gt;100+EingabenÄnderungen!I188),0,I110)))</f>
        <v>0</v>
      </c>
      <c r="L111" s="818"/>
      <c r="M111" s="818"/>
      <c r="N111" s="818"/>
      <c r="O111" s="818"/>
      <c r="P111" s="818"/>
      <c r="Q111" s="818"/>
      <c r="R111" s="818"/>
      <c r="S111" s="818"/>
      <c r="T111" s="818"/>
      <c r="U111" s="818"/>
      <c r="V111" s="818"/>
      <c r="W111" s="818"/>
      <c r="X111" s="818"/>
      <c r="Y111" s="818"/>
      <c r="Z111" s="818"/>
      <c r="AA111" s="818"/>
      <c r="AB111" s="818"/>
      <c r="AC111" s="818"/>
      <c r="AD111" s="818"/>
      <c r="AE111" s="818"/>
      <c r="AF111" s="818"/>
      <c r="AG111" s="818"/>
      <c r="AH111" s="818"/>
      <c r="AI111" s="818"/>
      <c r="AJ111" s="818"/>
      <c r="AK111" s="818"/>
      <c r="AL111" s="818"/>
      <c r="AM111" s="818"/>
      <c r="AN111" s="818"/>
      <c r="AO111" s="818"/>
      <c r="AP111" s="818"/>
      <c r="AQ111" s="818"/>
      <c r="AR111" s="818"/>
      <c r="AS111" s="818"/>
      <c r="AT111" s="818"/>
      <c r="AU111" s="818"/>
      <c r="AV111" s="818"/>
      <c r="AW111" s="818"/>
      <c r="AX111" s="818"/>
      <c r="AY111" s="818"/>
      <c r="AZ111" s="818"/>
      <c r="BA111" s="818"/>
      <c r="BB111" s="818"/>
      <c r="BC111" s="818"/>
      <c r="BD111" s="818"/>
      <c r="BE111" s="818"/>
      <c r="BF111" s="818"/>
      <c r="BG111" s="818"/>
      <c r="BH111" s="818"/>
      <c r="BI111" s="818"/>
      <c r="BJ111" s="818"/>
      <c r="BK111" s="818"/>
      <c r="BL111" s="818"/>
    </row>
    <row r="112" spans="1:64" ht="16.5" hidden="1" customHeight="1">
      <c r="A112" s="1341"/>
      <c r="B112" s="522"/>
      <c r="C112" s="522">
        <f>IF(OR(EingabenÄnderungen!C160=100,EingabenÄnderungen!C160=200),EingabenÄnderungen!C160,C111)</f>
        <v>0</v>
      </c>
      <c r="D112" s="522">
        <f>IF(OR(EingabenÄnderungen!D160=100,EingabenÄnderungen!D160=200),EingabenÄnderungen!D160,D111)</f>
        <v>0</v>
      </c>
      <c r="E112" s="522">
        <f>IF(OR(EingabenÄnderungen!E160=100,EingabenÄnderungen!E160=200),EingabenÄnderungen!E160,E111)</f>
        <v>0</v>
      </c>
      <c r="F112" s="522">
        <f>IF(OR(EingabenÄnderungen!F160=100,EingabenÄnderungen!F160=200),EingabenÄnderungen!F160,F111)</f>
        <v>0</v>
      </c>
      <c r="G112" s="522">
        <f>IF(OR(EingabenÄnderungen!G160=100,EingabenÄnderungen!G160=200),EingabenÄnderungen!G160,G111)</f>
        <v>0</v>
      </c>
      <c r="H112" s="522">
        <f>IF(OR(EingabenÄnderungen!H160=100,EingabenÄnderungen!H160=200),EingabenÄnderungen!H160,H111)</f>
        <v>0</v>
      </c>
      <c r="I112" s="523">
        <f>IF(OR(EingabenÄnderungen!I160=100,EingabenÄnderungen!I160=200),EingabenÄnderungen!I160,I111)</f>
        <v>0</v>
      </c>
      <c r="L112" s="818"/>
      <c r="M112" s="818"/>
      <c r="N112" s="818"/>
      <c r="O112" s="818"/>
      <c r="P112" s="818"/>
      <c r="Q112" s="818"/>
      <c r="R112" s="818"/>
      <c r="S112" s="818"/>
      <c r="T112" s="818"/>
      <c r="U112" s="818"/>
      <c r="V112" s="818"/>
      <c r="W112" s="818"/>
      <c r="X112" s="818"/>
      <c r="Y112" s="818"/>
      <c r="Z112" s="818"/>
      <c r="AA112" s="818"/>
      <c r="AB112" s="818"/>
      <c r="AC112" s="818"/>
      <c r="AD112" s="818"/>
      <c r="AE112" s="818"/>
      <c r="AF112" s="818"/>
      <c r="AG112" s="818"/>
      <c r="AH112" s="818"/>
      <c r="AI112" s="818"/>
      <c r="AJ112" s="818"/>
      <c r="AK112" s="818"/>
      <c r="AL112" s="818"/>
      <c r="AM112" s="818"/>
      <c r="AN112" s="818"/>
      <c r="AO112" s="818"/>
      <c r="AP112" s="818"/>
      <c r="AQ112" s="818"/>
      <c r="AR112" s="818"/>
      <c r="AS112" s="818"/>
      <c r="AT112" s="818"/>
      <c r="AU112" s="818"/>
      <c r="AV112" s="818"/>
      <c r="AW112" s="818"/>
      <c r="AX112" s="818"/>
      <c r="AY112" s="818"/>
      <c r="AZ112" s="818"/>
      <c r="BA112" s="818"/>
      <c r="BB112" s="818"/>
      <c r="BC112" s="818"/>
      <c r="BD112" s="818"/>
      <c r="BE112" s="818"/>
      <c r="BF112" s="818"/>
      <c r="BG112" s="818"/>
      <c r="BH112" s="818"/>
      <c r="BI112" s="818"/>
      <c r="BJ112" s="818"/>
      <c r="BK112" s="818"/>
      <c r="BL112" s="818"/>
    </row>
    <row r="113" spans="1:64" ht="16.5" customHeight="1">
      <c r="A113" s="976">
        <f>IF(B113&gt;0,"./. Grundfreibetrag Lohn / Ehrenamt",0)</f>
        <v>0</v>
      </c>
      <c r="B113" s="1335">
        <f>SUM(C113:I113)</f>
        <v>0</v>
      </c>
      <c r="C113" s="522">
        <f>IF(AND(EingabenÄnderungen!C178&gt;0,EingabenÄnderungen!C178&lt;EingabenÄnderungen!C189),C112,IF(AND(EingabenÄnderungen!C178&gt;0,C111=0,EingabenÄnderungen!C189&gt;100),0,IF(C110&lt;100,C110,C112)))</f>
        <v>0</v>
      </c>
      <c r="D113" s="522">
        <f>IF(AND(EingabenÄnderungen!D178&gt;0,EingabenÄnderungen!D178&lt;EingabenÄnderungen!D189),D112,IF(AND(EingabenÄnderungen!D178&gt;0,D111=0,EingabenÄnderungen!D189&gt;100),0,IF(D110&lt;100,D110,D112)))</f>
        <v>0</v>
      </c>
      <c r="E113" s="522">
        <f>IF(AND(EingabenÄnderungen!E178&gt;0,EingabenÄnderungen!E178&lt;EingabenÄnderungen!E189),E112,IF(AND(EingabenÄnderungen!E178&gt;0,E111=0,EingabenÄnderungen!E189&gt;100),0,IF(E110&lt;100,E110,E112)))</f>
        <v>0</v>
      </c>
      <c r="F113" s="522">
        <f>IF(AND(EingabenÄnderungen!F178&gt;0,EingabenÄnderungen!F178&lt;EingabenÄnderungen!F189),F112,IF(AND(EingabenÄnderungen!F178&gt;0,F111=0,EingabenÄnderungen!F189&gt;100),0,IF(F110&lt;100,F110,F112)))</f>
        <v>0</v>
      </c>
      <c r="G113" s="522">
        <f>IF(AND(EingabenÄnderungen!G178&gt;0,EingabenÄnderungen!G178&lt;EingabenÄnderungen!G189),G112,IF(AND(EingabenÄnderungen!G178&gt;0,G111=0,EingabenÄnderungen!G189&gt;100),0,IF(G110&lt;100,G110,G112)))</f>
        <v>0</v>
      </c>
      <c r="H113" s="522">
        <f>IF(AND(EingabenÄnderungen!H178&gt;0,EingabenÄnderungen!H178&lt;EingabenÄnderungen!H189),H112,IF(AND(EingabenÄnderungen!H178&gt;0,H111=0,EingabenÄnderungen!H189&gt;100),0,IF(H110&lt;100,H110,H112)))</f>
        <v>0</v>
      </c>
      <c r="I113" s="523">
        <f>IF(AND(EingabenÄnderungen!I178&gt;0,EingabenÄnderungen!I178&lt;EingabenÄnderungen!I189),I112,IF(AND(EingabenÄnderungen!I178&gt;0,I111=0,EingabenÄnderungen!I189&gt;100),0,IF(I110&lt;100,I110,I112)))</f>
        <v>0</v>
      </c>
      <c r="L113" s="818"/>
      <c r="M113" s="818"/>
      <c r="N113" s="818"/>
      <c r="O113" s="818"/>
      <c r="P113" s="818"/>
      <c r="Q113" s="818"/>
      <c r="R113" s="818"/>
      <c r="S113" s="818"/>
      <c r="T113" s="818"/>
      <c r="U113" s="818"/>
      <c r="V113" s="818"/>
      <c r="W113" s="818"/>
      <c r="X113" s="818"/>
      <c r="Y113" s="818"/>
      <c r="Z113" s="818"/>
      <c r="AA113" s="818"/>
      <c r="AB113" s="818"/>
      <c r="AC113" s="818"/>
      <c r="AD113" s="818"/>
      <c r="AE113" s="818"/>
      <c r="AF113" s="818"/>
      <c r="AG113" s="818"/>
      <c r="AH113" s="818"/>
      <c r="AI113" s="818"/>
      <c r="AJ113" s="818"/>
      <c r="AK113" s="818"/>
      <c r="AL113" s="818"/>
      <c r="AM113" s="818"/>
      <c r="AN113" s="818"/>
      <c r="AO113" s="818"/>
      <c r="AP113" s="818"/>
      <c r="AQ113" s="818"/>
      <c r="AR113" s="818"/>
      <c r="AS113" s="818"/>
      <c r="AT113" s="818"/>
      <c r="AU113" s="818"/>
      <c r="AV113" s="818"/>
      <c r="AW113" s="818"/>
      <c r="AX113" s="818"/>
      <c r="AY113" s="818"/>
      <c r="AZ113" s="818"/>
      <c r="BA113" s="818"/>
      <c r="BB113" s="818"/>
      <c r="BC113" s="818"/>
      <c r="BD113" s="818"/>
      <c r="BE113" s="818"/>
      <c r="BF113" s="818"/>
      <c r="BG113" s="818"/>
      <c r="BH113" s="818"/>
      <c r="BI113" s="818"/>
      <c r="BJ113" s="818"/>
      <c r="BK113" s="818"/>
      <c r="BL113" s="818"/>
    </row>
    <row r="114" spans="1:64" ht="16.5" customHeight="1">
      <c r="A114" s="976">
        <f>IF(B114&gt;0,"./. Freibetrag Freiwilligendienste",0)</f>
        <v>0</v>
      </c>
      <c r="B114" s="1335">
        <f>SUM(C114:I114)</f>
        <v>0</v>
      </c>
      <c r="C114" s="522">
        <f>EingabenÄnderungen!C171</f>
        <v>0</v>
      </c>
      <c r="D114" s="522">
        <f>EingabenÄnderungen!D171</f>
        <v>0</v>
      </c>
      <c r="E114" s="522">
        <f>EingabenÄnderungen!E171</f>
        <v>0</v>
      </c>
      <c r="F114" s="522">
        <f>EingabenÄnderungen!F171</f>
        <v>0</v>
      </c>
      <c r="G114" s="522">
        <f>EingabenÄnderungen!G171</f>
        <v>0</v>
      </c>
      <c r="H114" s="522">
        <f>EingabenÄnderungen!H171</f>
        <v>0</v>
      </c>
      <c r="I114" s="523">
        <f>EingabenÄnderungen!I171</f>
        <v>0</v>
      </c>
      <c r="L114" s="818"/>
      <c r="M114" s="818"/>
      <c r="N114" s="818"/>
      <c r="O114" s="818"/>
      <c r="P114" s="818"/>
      <c r="Q114" s="818"/>
      <c r="R114" s="818"/>
      <c r="S114" s="818"/>
      <c r="T114" s="818"/>
      <c r="U114" s="818"/>
      <c r="V114" s="818"/>
      <c r="W114" s="818"/>
      <c r="X114" s="818"/>
      <c r="Y114" s="818"/>
      <c r="Z114" s="818"/>
      <c r="AA114" s="818"/>
      <c r="AB114" s="818"/>
      <c r="AC114" s="818"/>
      <c r="AD114" s="818"/>
      <c r="AE114" s="818"/>
      <c r="AF114" s="818"/>
      <c r="AG114" s="818"/>
      <c r="AH114" s="818"/>
      <c r="AI114" s="818"/>
      <c r="AJ114" s="818"/>
      <c r="AK114" s="818"/>
      <c r="AL114" s="818"/>
      <c r="AM114" s="818"/>
      <c r="AN114" s="818"/>
      <c r="AO114" s="818"/>
      <c r="AP114" s="818"/>
      <c r="AQ114" s="818"/>
      <c r="AR114" s="818"/>
      <c r="AS114" s="818"/>
      <c r="AT114" s="818"/>
      <c r="AU114" s="818"/>
      <c r="AV114" s="818"/>
      <c r="AW114" s="818"/>
      <c r="AX114" s="818"/>
      <c r="AY114" s="818"/>
      <c r="AZ114" s="818"/>
      <c r="BA114" s="818"/>
      <c r="BB114" s="818"/>
      <c r="BC114" s="818"/>
      <c r="BD114" s="818"/>
      <c r="BE114" s="818"/>
      <c r="BF114" s="818"/>
      <c r="BG114" s="818"/>
      <c r="BH114" s="818"/>
      <c r="BI114" s="818"/>
      <c r="BJ114" s="818"/>
      <c r="BK114" s="818"/>
      <c r="BL114" s="818"/>
    </row>
    <row r="115" spans="1:64" ht="16.5" hidden="1" customHeight="1">
      <c r="A115" s="976"/>
      <c r="B115" s="522"/>
      <c r="C115" s="522">
        <f>IF(AND(EingabenÄnderungen!C195&gt;0,C58=0),C54*0.3,IF(AND(EingabenÄnderungen!C34="nein",C58=0),C54*0.3,0))</f>
        <v>0</v>
      </c>
      <c r="D115" s="522">
        <f>IF(AND(EingabenÄnderungen!D195&gt;0,D58=0),D54*0.3,IF(AND(EingabenÄnderungen!D34="nein",D58=0),D54*0.3,0))</f>
        <v>0</v>
      </c>
      <c r="E115" s="522">
        <f>IF(AND(EingabenÄnderungen!E18&gt;14,EingabenÄnderungen!E34="nein",E58=0),E54*0.3,0)</f>
        <v>0</v>
      </c>
      <c r="F115" s="522">
        <f>IF(AND(EingabenÄnderungen!F18&gt;14,EingabenÄnderungen!F34="nein",F58=0),F54*0.3,0)</f>
        <v>0</v>
      </c>
      <c r="G115" s="522">
        <f>IF(AND(EingabenÄnderungen!G18&gt;14,EingabenÄnderungen!G34="nein",G58=0),G54*0.3,0)</f>
        <v>0</v>
      </c>
      <c r="H115" s="522">
        <f>IF(AND(EingabenÄnderungen!H18&gt;14,EingabenÄnderungen!H34="nein",H58=0),H54*0.3,0)</f>
        <v>0</v>
      </c>
      <c r="I115" s="523">
        <f>IF(AND(EingabenÄnderungen!I18&gt;14,EingabenÄnderungen!I34="nein",I58=0),I54*0.3,0)</f>
        <v>0</v>
      </c>
      <c r="L115" s="818"/>
      <c r="M115" s="818"/>
      <c r="N115" s="818"/>
      <c r="O115" s="818"/>
      <c r="P115" s="818"/>
      <c r="Q115" s="818"/>
      <c r="R115" s="818"/>
      <c r="S115" s="818"/>
      <c r="T115" s="818"/>
      <c r="U115" s="818"/>
      <c r="V115" s="818"/>
      <c r="W115" s="818"/>
      <c r="X115" s="818"/>
      <c r="Y115" s="818"/>
      <c r="Z115" s="818"/>
      <c r="AA115" s="818"/>
      <c r="AB115" s="818"/>
      <c r="AC115" s="818"/>
      <c r="AD115" s="818"/>
      <c r="AE115" s="818"/>
      <c r="AF115" s="818"/>
      <c r="AG115" s="818"/>
      <c r="AH115" s="818"/>
      <c r="AI115" s="818"/>
      <c r="AJ115" s="818"/>
      <c r="AK115" s="818"/>
      <c r="AL115" s="818"/>
      <c r="AM115" s="818"/>
      <c r="AN115" s="818"/>
      <c r="AO115" s="818"/>
      <c r="AP115" s="818"/>
      <c r="AQ115" s="818"/>
      <c r="AR115" s="818"/>
      <c r="AS115" s="818"/>
      <c r="AT115" s="818"/>
      <c r="AU115" s="818"/>
      <c r="AV115" s="818"/>
      <c r="AW115" s="818"/>
      <c r="AX115" s="818"/>
      <c r="AY115" s="818"/>
      <c r="AZ115" s="818"/>
      <c r="BA115" s="818"/>
      <c r="BB115" s="818"/>
      <c r="BC115" s="818"/>
      <c r="BD115" s="818"/>
      <c r="BE115" s="818"/>
      <c r="BF115" s="818"/>
      <c r="BG115" s="818"/>
      <c r="BH115" s="818"/>
      <c r="BI115" s="818"/>
      <c r="BJ115" s="818"/>
      <c r="BK115" s="818"/>
      <c r="BL115" s="818"/>
    </row>
    <row r="116" spans="1:64" ht="16.5" hidden="1" customHeight="1">
      <c r="A116" s="976"/>
      <c r="B116" s="522"/>
      <c r="C116" s="522">
        <f>IF(AND(EingabenÄnderungen!C195&gt;0,C115=0,C58&gt;0),0,IF(AND(EingabenÄnderungen!C34="nein",C115=0,C58&gt;0),0,IF(C115&gt;0,MIN(C115,Zusatzeingaben!$C$233*0.5),D205)))</f>
        <v>0</v>
      </c>
      <c r="D116" s="522">
        <f>IF(AND(EingabenÄnderungen!D195&gt;0,D115=0,D58&gt;0),0,IF(AND(EingabenÄnderungen!D34="nein",D115=0,D58&gt;0),0,IF(D115&gt;0,MIN(D115,Zusatzeingaben!$C$233*0.5),D210)))</f>
        <v>0</v>
      </c>
      <c r="E116" s="522">
        <f>IF(AND(EingabenÄnderungen!E18&gt;14,EingabenÄnderungen!E34="nein",E115=0,E58&gt;0),0,IF(EingabenÄnderungen!E18&lt;15,0,IF(E115&gt;0,MIN(E115,Zusatzeingaben!$C$233*0.5),D215)))</f>
        <v>0</v>
      </c>
      <c r="F116" s="522">
        <f>IF(AND(EingabenÄnderungen!F18&gt;14,EingabenÄnderungen!F34="nein",F115=0,F58&gt;0),0,IF(EingabenÄnderungen!F18&lt;15,0,IF(F115&gt;0,MIN(F115,Zusatzeingaben!$C$233*0.5),D220)))</f>
        <v>0</v>
      </c>
      <c r="G116" s="522">
        <f>IF(AND(EingabenÄnderungen!G18&gt;14,EingabenÄnderungen!G34="nein",G115=0,G58&gt;0),0,IF(EingabenÄnderungen!G18&lt;15,0,IF(G115&gt;0,MIN(G115,Zusatzeingaben!$C$233*0.5),D225)))</f>
        <v>0</v>
      </c>
      <c r="H116" s="522">
        <f>IF(AND(EingabenÄnderungen!H18&gt;14,EingabenÄnderungen!H34="nein",H115=0,H58&gt;0),0,IF(EingabenÄnderungen!H18&lt;15,0,IF(H115&gt;0,MIN(H115,Zusatzeingaben!$C$233*0.5),D230)))</f>
        <v>0</v>
      </c>
      <c r="I116" s="523">
        <f>IF(AND(EingabenÄnderungen!I18&gt;14,EingabenÄnderungen!I34="nein",I115=0,I58&gt;0),0,IF(EingabenÄnderungen!I18&lt;15,0,IF(I115&gt;0,MIN(I115,Zusatzeingaben!$C$233*0.5),D235)))</f>
        <v>0</v>
      </c>
      <c r="L116" s="818"/>
      <c r="M116" s="818"/>
      <c r="N116" s="818"/>
      <c r="O116" s="818"/>
      <c r="P116" s="818"/>
      <c r="Q116" s="818"/>
      <c r="R116" s="818"/>
      <c r="S116" s="818"/>
      <c r="T116" s="818"/>
      <c r="U116" s="818"/>
      <c r="V116" s="818"/>
      <c r="W116" s="818"/>
      <c r="X116" s="818"/>
      <c r="Y116" s="818"/>
      <c r="Z116" s="818"/>
      <c r="AA116" s="818"/>
      <c r="AB116" s="818"/>
      <c r="AC116" s="818"/>
      <c r="AD116" s="818"/>
      <c r="AE116" s="818"/>
      <c r="AF116" s="818"/>
      <c r="AG116" s="818"/>
      <c r="AH116" s="818"/>
      <c r="AI116" s="818"/>
      <c r="AJ116" s="818"/>
      <c r="AK116" s="818"/>
      <c r="AL116" s="818"/>
      <c r="AM116" s="818"/>
      <c r="AN116" s="818"/>
      <c r="AO116" s="818"/>
      <c r="AP116" s="818"/>
      <c r="AQ116" s="818"/>
      <c r="AR116" s="818"/>
      <c r="AS116" s="818"/>
      <c r="AT116" s="818"/>
      <c r="AU116" s="818"/>
      <c r="AV116" s="818"/>
      <c r="AW116" s="818"/>
      <c r="AX116" s="818"/>
      <c r="AY116" s="818"/>
      <c r="AZ116" s="818"/>
      <c r="BA116" s="818"/>
      <c r="BB116" s="818"/>
      <c r="BC116" s="818"/>
      <c r="BD116" s="818"/>
      <c r="BE116" s="818"/>
      <c r="BF116" s="818"/>
      <c r="BG116" s="818"/>
      <c r="BH116" s="818"/>
      <c r="BI116" s="818"/>
      <c r="BJ116" s="818"/>
      <c r="BK116" s="818"/>
      <c r="BL116" s="818"/>
    </row>
    <row r="117" spans="1:64" ht="18" customHeight="1">
      <c r="A117" s="976">
        <f>IF(B117&gt;0,"./. Freibetrag bei Erwerbstätigkeit",0)</f>
        <v>0</v>
      </c>
      <c r="B117" s="1335">
        <f t="shared" ref="B117:B122" si="12">SUM(C117:I117)</f>
        <v>0</v>
      </c>
      <c r="C117" s="522">
        <f t="shared" ref="C117:I117" si="13">IF(C54+C58-C113=0,0,IF(C54+C58-C113-C116&lt;0,C54+C58-C113,C116))</f>
        <v>0</v>
      </c>
      <c r="D117" s="522">
        <f t="shared" si="13"/>
        <v>0</v>
      </c>
      <c r="E117" s="522">
        <f t="shared" si="13"/>
        <v>0</v>
      </c>
      <c r="F117" s="522">
        <f t="shared" si="13"/>
        <v>0</v>
      </c>
      <c r="G117" s="522">
        <f t="shared" si="13"/>
        <v>0</v>
      </c>
      <c r="H117" s="522">
        <f t="shared" si="13"/>
        <v>0</v>
      </c>
      <c r="I117" s="523">
        <f t="shared" si="13"/>
        <v>0</v>
      </c>
      <c r="L117" s="818"/>
      <c r="M117" s="818"/>
      <c r="N117" s="818"/>
      <c r="O117" s="818"/>
      <c r="P117" s="818"/>
      <c r="Q117" s="818"/>
      <c r="R117" s="818"/>
      <c r="S117" s="818"/>
      <c r="T117" s="818"/>
      <c r="U117" s="818"/>
      <c r="V117" s="818"/>
      <c r="W117" s="818"/>
      <c r="X117" s="818"/>
      <c r="Y117" s="818"/>
      <c r="Z117" s="818"/>
      <c r="AA117" s="818"/>
      <c r="AB117" s="818"/>
      <c r="AC117" s="818"/>
      <c r="AD117" s="818"/>
      <c r="AE117" s="818"/>
      <c r="AF117" s="818"/>
      <c r="AG117" s="818"/>
      <c r="AH117" s="818"/>
      <c r="AI117" s="818"/>
      <c r="AJ117" s="818"/>
      <c r="AK117" s="818"/>
      <c r="AL117" s="818"/>
      <c r="AM117" s="818"/>
      <c r="AN117" s="818"/>
      <c r="AO117" s="818"/>
      <c r="AP117" s="818"/>
      <c r="AQ117" s="818"/>
      <c r="AR117" s="818"/>
      <c r="AS117" s="818"/>
      <c r="AT117" s="818"/>
      <c r="AU117" s="818"/>
      <c r="AV117" s="818"/>
      <c r="AW117" s="818"/>
      <c r="AX117" s="818"/>
      <c r="AY117" s="818"/>
      <c r="AZ117" s="818"/>
      <c r="BA117" s="818"/>
      <c r="BB117" s="818"/>
      <c r="BC117" s="818"/>
      <c r="BD117" s="818"/>
      <c r="BE117" s="818"/>
      <c r="BF117" s="818"/>
      <c r="BG117" s="818"/>
      <c r="BH117" s="818"/>
      <c r="BI117" s="818"/>
      <c r="BJ117" s="818"/>
      <c r="BK117" s="818"/>
      <c r="BL117" s="818"/>
    </row>
    <row r="118" spans="1:64" ht="18" customHeight="1">
      <c r="A118" s="1339">
        <f>IF(B118&gt;0,"./. Unterhaltsverpflichtungen",0)</f>
        <v>0</v>
      </c>
      <c r="B118" s="1335">
        <f t="shared" si="12"/>
        <v>0</v>
      </c>
      <c r="C118" s="522">
        <f>IF(C70=0,0,EingabenÄnderungen!C216)</f>
        <v>0</v>
      </c>
      <c r="D118" s="522">
        <f>IF(D70=0,0,EingabenÄnderungen!D216)</f>
        <v>0</v>
      </c>
      <c r="E118" s="522">
        <f>IF(E70=0,0,EingabenÄnderungen!E216)</f>
        <v>0</v>
      </c>
      <c r="F118" s="522">
        <f>IF(F70=0,0,EingabenÄnderungen!F216)</f>
        <v>0</v>
      </c>
      <c r="G118" s="522">
        <f>IF(G70=0,0,EingabenÄnderungen!G216)</f>
        <v>0</v>
      </c>
      <c r="H118" s="522">
        <f>IF(H70=0,0,EingabenÄnderungen!H216)</f>
        <v>0</v>
      </c>
      <c r="I118" s="523">
        <f>IF(I70=0,0,EingabenÄnderungen!I216)</f>
        <v>0</v>
      </c>
      <c r="L118" s="818"/>
      <c r="M118" s="818"/>
      <c r="N118" s="818"/>
      <c r="O118" s="818"/>
      <c r="P118" s="818"/>
      <c r="Q118" s="818"/>
      <c r="R118" s="818"/>
      <c r="S118" s="818"/>
      <c r="T118" s="818"/>
      <c r="U118" s="818"/>
      <c r="V118" s="818"/>
      <c r="W118" s="818"/>
      <c r="X118" s="818"/>
      <c r="Y118" s="818"/>
      <c r="Z118" s="818"/>
      <c r="AA118" s="818"/>
      <c r="AB118" s="818"/>
      <c r="AC118" s="818"/>
      <c r="AD118" s="818"/>
      <c r="AE118" s="818"/>
      <c r="AF118" s="818"/>
      <c r="AG118" s="818"/>
      <c r="AH118" s="818"/>
      <c r="AI118" s="818"/>
      <c r="AJ118" s="818"/>
      <c r="AK118" s="818"/>
      <c r="AL118" s="818"/>
      <c r="AM118" s="818"/>
      <c r="AN118" s="818"/>
      <c r="AO118" s="818"/>
      <c r="AP118" s="818"/>
      <c r="AQ118" s="818"/>
      <c r="AR118" s="818"/>
      <c r="AS118" s="818"/>
      <c r="AT118" s="818"/>
      <c r="AU118" s="818"/>
      <c r="AV118" s="818"/>
      <c r="AW118" s="818"/>
      <c r="AX118" s="818"/>
      <c r="AY118" s="818"/>
      <c r="AZ118" s="818"/>
      <c r="BA118" s="818"/>
      <c r="BB118" s="818"/>
      <c r="BC118" s="818"/>
      <c r="BD118" s="818"/>
      <c r="BE118" s="818"/>
      <c r="BF118" s="818"/>
      <c r="BG118" s="818"/>
      <c r="BH118" s="818"/>
      <c r="BI118" s="818"/>
      <c r="BJ118" s="818"/>
      <c r="BK118" s="818"/>
      <c r="BL118" s="818"/>
    </row>
    <row r="119" spans="1:64" ht="18" customHeight="1">
      <c r="A119" s="1369">
        <f>IF(B119&gt;0,"./. Elterngeldfreibetrag",0)</f>
        <v>0</v>
      </c>
      <c r="B119" s="1335">
        <f t="shared" si="12"/>
        <v>0</v>
      </c>
      <c r="C119" s="522">
        <f>EingabenÄnderungen!C177</f>
        <v>0</v>
      </c>
      <c r="D119" s="522">
        <f>EingabenÄnderungen!D177</f>
        <v>0</v>
      </c>
      <c r="E119" s="522"/>
      <c r="F119" s="522"/>
      <c r="G119" s="1361"/>
      <c r="H119" s="1361"/>
      <c r="I119" s="1370"/>
      <c r="L119" s="818"/>
      <c r="M119" s="818"/>
      <c r="N119" s="818"/>
      <c r="O119" s="818"/>
      <c r="P119" s="818"/>
      <c r="Q119" s="818"/>
      <c r="R119" s="818"/>
      <c r="S119" s="818"/>
      <c r="T119" s="818"/>
      <c r="U119" s="818"/>
      <c r="V119" s="818"/>
      <c r="W119" s="818"/>
      <c r="X119" s="818"/>
      <c r="Y119" s="818"/>
      <c r="Z119" s="818"/>
      <c r="AA119" s="818"/>
      <c r="AB119" s="818"/>
      <c r="AC119" s="818"/>
      <c r="AD119" s="818"/>
      <c r="AE119" s="818"/>
      <c r="AF119" s="818"/>
      <c r="AG119" s="818"/>
      <c r="AH119" s="818"/>
      <c r="AI119" s="818"/>
      <c r="AJ119" s="818"/>
      <c r="AK119" s="818"/>
      <c r="AL119" s="818"/>
      <c r="AM119" s="818"/>
      <c r="AN119" s="818"/>
      <c r="AO119" s="818"/>
      <c r="AP119" s="818"/>
      <c r="AQ119" s="818"/>
      <c r="AR119" s="818"/>
      <c r="AS119" s="818"/>
      <c r="AT119" s="818"/>
      <c r="AU119" s="818"/>
      <c r="AV119" s="818"/>
      <c r="AW119" s="818"/>
      <c r="AX119" s="818"/>
      <c r="AY119" s="818"/>
      <c r="AZ119" s="818"/>
      <c r="BA119" s="818"/>
      <c r="BB119" s="818"/>
      <c r="BC119" s="818"/>
      <c r="BD119" s="818"/>
      <c r="BE119" s="818"/>
      <c r="BF119" s="818"/>
      <c r="BG119" s="818"/>
      <c r="BH119" s="818"/>
      <c r="BI119" s="818"/>
      <c r="BJ119" s="818"/>
      <c r="BK119" s="818"/>
      <c r="BL119" s="818"/>
    </row>
    <row r="120" spans="1:64" ht="18" customHeight="1">
      <c r="A120" s="1606">
        <f>IF(AND(B120&gt;0,C120=EingabenÄnderungen!C187),"./. Grundfreibetrag Ausbildungsförderung",IF(AND(B120&gt;0,C120=EingabenÄnderungen!C188),"./. Ausgaben für die Ausbildung",0))</f>
        <v>0</v>
      </c>
      <c r="B120" s="1357">
        <f t="shared" si="12"/>
        <v>0</v>
      </c>
      <c r="C120" s="1024">
        <f>IF(EingabenÄnderungen!C189&gt;100,EingabenÄnderungen!C188,IF(AND(EingabenÄnderungen!C188&gt;0,EingabenÄnderungen!C188&gt;EingabenÄnderungen!C187),EingabenÄnderungen!C188,EingabenÄnderungen!C187))</f>
        <v>0</v>
      </c>
      <c r="D120" s="1024">
        <f>IF(EingabenÄnderungen!D189&gt;100,EingabenÄnderungen!D188,IF(AND(EingabenÄnderungen!D188&gt;0,EingabenÄnderungen!D188&gt;EingabenÄnderungen!D187),EingabenÄnderungen!D188,EingabenÄnderungen!D187))</f>
        <v>0</v>
      </c>
      <c r="E120" s="1024">
        <f>IF(EingabenÄnderungen!E189&gt;100,EingabenÄnderungen!E188,IF(AND(EingabenÄnderungen!E188&gt;0,EingabenÄnderungen!E188&gt;EingabenÄnderungen!E187),EingabenÄnderungen!E188,EingabenÄnderungen!E187))</f>
        <v>0</v>
      </c>
      <c r="F120" s="1024">
        <f>IF(EingabenÄnderungen!F189&gt;100,EingabenÄnderungen!F188,IF(AND(EingabenÄnderungen!F188&gt;0,EingabenÄnderungen!F188&gt;EingabenÄnderungen!F187),EingabenÄnderungen!F188,EingabenÄnderungen!F187))</f>
        <v>0</v>
      </c>
      <c r="G120" s="1024">
        <f>IF(EingabenÄnderungen!G189&gt;100,EingabenÄnderungen!G188,IF(AND(EingabenÄnderungen!G188&gt;0,EingabenÄnderungen!G188&gt;EingabenÄnderungen!G187),EingabenÄnderungen!G188,EingabenÄnderungen!G187))</f>
        <v>0</v>
      </c>
      <c r="H120" s="1024">
        <f>IF(EingabenÄnderungen!H189&gt;100,EingabenÄnderungen!H188,IF(AND(EingabenÄnderungen!H188&gt;0,EingabenÄnderungen!H188&gt;EingabenÄnderungen!H187),EingabenÄnderungen!H188,EingabenÄnderungen!H187))</f>
        <v>0</v>
      </c>
      <c r="I120" s="1025">
        <f>IF(EingabenÄnderungen!I189&gt;100,EingabenÄnderungen!I188,IF(AND(EingabenÄnderungen!I188&gt;0,EingabenÄnderungen!I188&gt;EingabenÄnderungen!I187),EingabenÄnderungen!I188,EingabenÄnderungen!I187))</f>
        <v>0</v>
      </c>
      <c r="L120" s="818"/>
      <c r="M120" s="818"/>
      <c r="N120" s="818"/>
      <c r="O120" s="818"/>
      <c r="P120" s="818"/>
      <c r="Q120" s="818"/>
      <c r="R120" s="818"/>
      <c r="S120" s="818"/>
      <c r="T120" s="818"/>
      <c r="U120" s="818"/>
      <c r="V120" s="818"/>
      <c r="W120" s="818"/>
      <c r="X120" s="818"/>
      <c r="Y120" s="818"/>
      <c r="Z120" s="818"/>
      <c r="AA120" s="818"/>
      <c r="AB120" s="818"/>
      <c r="AC120" s="818"/>
      <c r="AD120" s="818"/>
      <c r="AE120" s="818"/>
      <c r="AF120" s="818"/>
      <c r="AG120" s="818"/>
      <c r="AH120" s="818"/>
      <c r="AI120" s="818"/>
      <c r="AJ120" s="818"/>
      <c r="AK120" s="818"/>
      <c r="AL120" s="818"/>
      <c r="AM120" s="818"/>
      <c r="AN120" s="818"/>
      <c r="AO120" s="818"/>
      <c r="AP120" s="818"/>
      <c r="AQ120" s="818"/>
      <c r="AR120" s="818"/>
      <c r="AS120" s="818"/>
      <c r="AT120" s="818"/>
      <c r="AU120" s="818"/>
      <c r="AV120" s="818"/>
      <c r="AW120" s="818"/>
      <c r="AX120" s="818"/>
      <c r="AY120" s="818"/>
      <c r="AZ120" s="818"/>
      <c r="BA120" s="818"/>
      <c r="BB120" s="818"/>
      <c r="BC120" s="818"/>
      <c r="BD120" s="818"/>
      <c r="BE120" s="818"/>
      <c r="BF120" s="818"/>
      <c r="BG120" s="818"/>
      <c r="BH120" s="818"/>
      <c r="BI120" s="818"/>
      <c r="BJ120" s="818"/>
      <c r="BK120" s="818"/>
      <c r="BL120" s="818"/>
    </row>
    <row r="121" spans="1:64" ht="18" hidden="1" customHeight="1">
      <c r="A121" s="1037"/>
      <c r="B121" s="637">
        <f t="shared" si="12"/>
        <v>0</v>
      </c>
      <c r="C121" s="637">
        <f t="shared" ref="C121:I121" si="14">C70-C76-C82-C87-C92-C98-C104-C108-C109-C113-C114-C117-C118-C119-C120</f>
        <v>0</v>
      </c>
      <c r="D121" s="637">
        <f t="shared" si="14"/>
        <v>0</v>
      </c>
      <c r="E121" s="637">
        <f t="shared" si="14"/>
        <v>0</v>
      </c>
      <c r="F121" s="637">
        <f t="shared" si="14"/>
        <v>0</v>
      </c>
      <c r="G121" s="637">
        <f t="shared" si="14"/>
        <v>0</v>
      </c>
      <c r="H121" s="637">
        <f t="shared" si="14"/>
        <v>0</v>
      </c>
      <c r="I121" s="638">
        <f t="shared" si="14"/>
        <v>0</v>
      </c>
      <c r="L121" s="818"/>
      <c r="M121" s="818"/>
      <c r="N121" s="818"/>
      <c r="O121" s="818"/>
      <c r="P121" s="818"/>
      <c r="Q121" s="818"/>
      <c r="R121" s="818"/>
      <c r="S121" s="818"/>
      <c r="T121" s="818"/>
      <c r="U121" s="818"/>
      <c r="V121" s="818"/>
      <c r="W121" s="818"/>
      <c r="X121" s="818"/>
      <c r="Y121" s="818"/>
      <c r="Z121" s="818"/>
      <c r="AA121" s="818"/>
      <c r="AB121" s="818"/>
      <c r="AC121" s="818"/>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18"/>
      <c r="AY121" s="818"/>
      <c r="AZ121" s="818"/>
      <c r="BA121" s="818"/>
      <c r="BB121" s="818"/>
      <c r="BC121" s="818"/>
      <c r="BD121" s="818"/>
      <c r="BE121" s="818"/>
      <c r="BF121" s="818"/>
      <c r="BG121" s="818"/>
      <c r="BH121" s="818"/>
      <c r="BI121" s="818"/>
      <c r="BJ121" s="818"/>
      <c r="BK121" s="818"/>
      <c r="BL121" s="818"/>
    </row>
    <row r="122" spans="1:64" ht="21" customHeight="1">
      <c r="A122" s="1373" t="s">
        <v>2168</v>
      </c>
      <c r="B122" s="1374">
        <f t="shared" si="12"/>
        <v>0</v>
      </c>
      <c r="C122" s="1374">
        <f t="shared" ref="C122:I122" si="15">IF(C121&lt;0,0,C121)</f>
        <v>0</v>
      </c>
      <c r="D122" s="1374">
        <f t="shared" si="15"/>
        <v>0</v>
      </c>
      <c r="E122" s="1374">
        <f t="shared" si="15"/>
        <v>0</v>
      </c>
      <c r="F122" s="1374">
        <f t="shared" si="15"/>
        <v>0</v>
      </c>
      <c r="G122" s="1374">
        <f t="shared" si="15"/>
        <v>0</v>
      </c>
      <c r="H122" s="1374">
        <f t="shared" si="15"/>
        <v>0</v>
      </c>
      <c r="I122" s="1375">
        <f t="shared" si="15"/>
        <v>0</v>
      </c>
      <c r="L122" s="818"/>
      <c r="M122" s="818"/>
      <c r="N122" s="818"/>
      <c r="O122" s="818"/>
      <c r="P122" s="818"/>
      <c r="Q122" s="818"/>
      <c r="R122" s="818"/>
      <c r="S122" s="818"/>
      <c r="T122" s="818"/>
      <c r="U122" s="818"/>
      <c r="V122" s="818"/>
      <c r="W122" s="818"/>
      <c r="X122" s="818"/>
      <c r="Y122" s="818"/>
      <c r="Z122" s="818"/>
      <c r="AA122" s="818"/>
      <c r="AB122" s="818"/>
      <c r="AC122" s="818"/>
      <c r="AD122" s="818"/>
      <c r="AE122" s="818"/>
      <c r="AF122" s="818"/>
      <c r="AG122" s="818"/>
      <c r="AH122" s="818"/>
      <c r="AI122" s="818"/>
      <c r="AJ122" s="818"/>
      <c r="AK122" s="818"/>
      <c r="AL122" s="818"/>
      <c r="AM122" s="818"/>
      <c r="AN122" s="818"/>
      <c r="AO122" s="818"/>
      <c r="AP122" s="818"/>
      <c r="AQ122" s="818"/>
      <c r="AR122" s="818"/>
      <c r="AS122" s="818"/>
      <c r="AT122" s="818"/>
      <c r="AU122" s="818"/>
      <c r="AV122" s="818"/>
      <c r="AW122" s="818"/>
      <c r="AX122" s="818"/>
      <c r="AY122" s="818"/>
      <c r="AZ122" s="818"/>
      <c r="BA122" s="818"/>
      <c r="BB122" s="818"/>
      <c r="BC122" s="818"/>
      <c r="BD122" s="818"/>
      <c r="BE122" s="818"/>
      <c r="BF122" s="818"/>
      <c r="BG122" s="818"/>
      <c r="BH122" s="818"/>
      <c r="BI122" s="818"/>
      <c r="BJ122" s="818"/>
      <c r="BK122" s="818"/>
      <c r="BL122" s="818"/>
    </row>
    <row r="123" spans="1:64" ht="16.5" hidden="1" customHeight="1">
      <c r="A123" s="1080"/>
      <c r="B123" s="1080"/>
      <c r="C123" s="1080"/>
      <c r="D123" s="1080"/>
      <c r="E123" s="1080"/>
      <c r="F123" s="1080"/>
      <c r="G123" s="1080"/>
      <c r="H123" s="1080"/>
      <c r="I123" s="1080"/>
      <c r="L123" s="818"/>
      <c r="M123" s="818"/>
      <c r="N123" s="818"/>
      <c r="O123" s="818"/>
      <c r="P123" s="818"/>
      <c r="Q123" s="818"/>
      <c r="R123" s="818"/>
      <c r="S123" s="818"/>
      <c r="T123" s="818"/>
      <c r="U123" s="818"/>
      <c r="V123" s="818"/>
      <c r="W123" s="818"/>
      <c r="X123" s="818"/>
      <c r="Y123" s="818"/>
      <c r="Z123" s="818"/>
      <c r="AA123" s="818"/>
      <c r="AB123" s="818"/>
      <c r="AC123" s="818"/>
      <c r="AD123" s="818"/>
      <c r="AE123" s="818"/>
      <c r="AF123" s="818"/>
      <c r="AG123" s="818"/>
      <c r="AH123" s="818"/>
      <c r="AI123" s="818"/>
      <c r="AJ123" s="818"/>
      <c r="AK123" s="818"/>
      <c r="AL123" s="818"/>
      <c r="AM123" s="818"/>
      <c r="AN123" s="818"/>
      <c r="AO123" s="818"/>
      <c r="AP123" s="818"/>
      <c r="AQ123" s="818"/>
      <c r="AR123" s="818"/>
      <c r="AS123" s="818"/>
      <c r="AT123" s="818"/>
      <c r="AU123" s="818"/>
      <c r="AV123" s="818"/>
      <c r="AW123" s="818"/>
      <c r="AX123" s="818"/>
      <c r="AY123" s="818"/>
      <c r="AZ123" s="818"/>
      <c r="BA123" s="818"/>
      <c r="BB123" s="818"/>
      <c r="BC123" s="818"/>
      <c r="BD123" s="818"/>
      <c r="BE123" s="818"/>
      <c r="BF123" s="818"/>
      <c r="BG123" s="818"/>
      <c r="BH123" s="818"/>
      <c r="BI123" s="818"/>
      <c r="BJ123" s="818"/>
      <c r="BK123" s="818"/>
      <c r="BL123" s="818"/>
    </row>
    <row r="124" spans="1:64" ht="11.25" customHeight="1">
      <c r="L124" s="818"/>
      <c r="M124" s="818"/>
      <c r="N124" s="818"/>
      <c r="O124" s="818"/>
      <c r="P124" s="818"/>
      <c r="Q124" s="818"/>
      <c r="R124" s="818"/>
      <c r="S124" s="818"/>
      <c r="T124" s="818"/>
      <c r="U124" s="818"/>
      <c r="V124" s="818"/>
      <c r="W124" s="818"/>
      <c r="X124" s="818"/>
      <c r="Y124" s="818"/>
      <c r="Z124" s="818"/>
      <c r="AA124" s="818"/>
      <c r="AB124" s="818"/>
      <c r="AC124" s="818"/>
      <c r="AD124" s="818"/>
      <c r="AE124" s="818"/>
      <c r="AF124" s="818"/>
      <c r="AG124" s="818"/>
      <c r="AH124" s="818"/>
      <c r="AI124" s="818"/>
      <c r="AJ124" s="818"/>
      <c r="AK124" s="818"/>
      <c r="AL124" s="818"/>
      <c r="AM124" s="818"/>
      <c r="AN124" s="818"/>
      <c r="AO124" s="818"/>
      <c r="AP124" s="818"/>
      <c r="AQ124" s="818"/>
      <c r="AR124" s="818"/>
      <c r="AS124" s="818"/>
      <c r="AT124" s="818"/>
      <c r="AU124" s="818"/>
      <c r="AV124" s="818"/>
      <c r="AW124" s="818"/>
      <c r="AX124" s="818"/>
      <c r="AY124" s="818"/>
      <c r="AZ124" s="818"/>
      <c r="BA124" s="818"/>
      <c r="BB124" s="818"/>
      <c r="BC124" s="818"/>
      <c r="BD124" s="818"/>
      <c r="BE124" s="818"/>
      <c r="BF124" s="818"/>
      <c r="BG124" s="818"/>
      <c r="BH124" s="818"/>
      <c r="BI124" s="818"/>
      <c r="BJ124" s="818"/>
      <c r="BK124" s="818"/>
      <c r="BL124" s="818"/>
    </row>
    <row r="125" spans="1:64" ht="21.75" customHeight="1">
      <c r="A125" s="1319"/>
      <c r="B125" s="1320" t="s">
        <v>2367</v>
      </c>
      <c r="C125" s="1316"/>
      <c r="D125" s="1316"/>
      <c r="E125" s="1316"/>
      <c r="F125" s="1316"/>
      <c r="G125" s="1316"/>
      <c r="H125" s="1316"/>
      <c r="I125" s="1321"/>
      <c r="L125" s="818"/>
      <c r="M125" s="818"/>
      <c r="N125" s="818"/>
      <c r="O125" s="818"/>
      <c r="P125" s="818"/>
      <c r="Q125" s="818"/>
      <c r="R125" s="818"/>
      <c r="S125" s="818"/>
      <c r="T125" s="818"/>
      <c r="U125" s="818"/>
      <c r="V125" s="818"/>
      <c r="W125" s="818"/>
      <c r="X125" s="818"/>
      <c r="Y125" s="818"/>
      <c r="Z125" s="818"/>
      <c r="AA125" s="818"/>
      <c r="AB125" s="818"/>
      <c r="AC125" s="818"/>
      <c r="AD125" s="818"/>
      <c r="AE125" s="818"/>
      <c r="AF125" s="818"/>
      <c r="AG125" s="818"/>
      <c r="AH125" s="818"/>
      <c r="AI125" s="818"/>
      <c r="AJ125" s="818"/>
      <c r="AK125" s="818"/>
      <c r="AL125" s="818"/>
      <c r="AM125" s="818"/>
      <c r="AN125" s="818"/>
      <c r="AO125" s="818"/>
      <c r="AP125" s="818"/>
      <c r="AQ125" s="818"/>
      <c r="AR125" s="818"/>
      <c r="AS125" s="818"/>
      <c r="AT125" s="818"/>
      <c r="AU125" s="818"/>
      <c r="AV125" s="818"/>
      <c r="AW125" s="818"/>
      <c r="AX125" s="818"/>
      <c r="AY125" s="818"/>
      <c r="AZ125" s="818"/>
      <c r="BA125" s="818"/>
      <c r="BB125" s="818"/>
      <c r="BC125" s="818"/>
      <c r="BD125" s="818"/>
      <c r="BE125" s="818"/>
      <c r="BF125" s="818"/>
      <c r="BG125" s="818"/>
      <c r="BH125" s="818"/>
      <c r="BI125" s="818"/>
      <c r="BJ125" s="818"/>
      <c r="BK125" s="818"/>
      <c r="BL125" s="818"/>
    </row>
    <row r="126" spans="1:64" ht="18.75" customHeight="1">
      <c r="A126" s="839"/>
      <c r="B126" s="1322" t="s">
        <v>246</v>
      </c>
      <c r="C126" s="1764" t="str">
        <f>EingabenÄnderungen!C4</f>
        <v>Antragsteller</v>
      </c>
      <c r="D126" s="1764" t="str">
        <f>EingabenÄnderungen!D4</f>
        <v>Partner(in)</v>
      </c>
      <c r="E126" s="1764" t="str">
        <f>EingabenÄnderungen!E4</f>
        <v>Kind 1</v>
      </c>
      <c r="F126" s="1322" t="s">
        <v>145</v>
      </c>
      <c r="G126" s="1322" t="s">
        <v>146</v>
      </c>
      <c r="H126" s="1322" t="s">
        <v>147</v>
      </c>
      <c r="I126" s="1323" t="s">
        <v>148</v>
      </c>
      <c r="L126" s="818"/>
      <c r="M126" s="818"/>
      <c r="N126" s="818"/>
      <c r="O126" s="818"/>
      <c r="P126" s="818"/>
      <c r="Q126" s="818"/>
      <c r="R126" s="818"/>
      <c r="S126" s="818"/>
      <c r="T126" s="818"/>
      <c r="U126" s="818"/>
      <c r="V126" s="818"/>
      <c r="W126" s="818"/>
      <c r="X126" s="818"/>
      <c r="Y126" s="818"/>
      <c r="Z126" s="818"/>
      <c r="AA126" s="818"/>
      <c r="AB126" s="818"/>
      <c r="AC126" s="818"/>
      <c r="AD126" s="818"/>
      <c r="AE126" s="818"/>
      <c r="AF126" s="818"/>
      <c r="AG126" s="818"/>
      <c r="AH126" s="818"/>
      <c r="AI126" s="818"/>
      <c r="AJ126" s="818"/>
      <c r="AK126" s="818"/>
      <c r="AL126" s="818"/>
      <c r="AM126" s="818"/>
      <c r="AN126" s="818"/>
      <c r="AO126" s="818"/>
      <c r="AP126" s="818"/>
      <c r="AQ126" s="818"/>
      <c r="AR126" s="818"/>
      <c r="AS126" s="818"/>
      <c r="AT126" s="818"/>
      <c r="AU126" s="818"/>
      <c r="AV126" s="818"/>
      <c r="AW126" s="818"/>
      <c r="AX126" s="818"/>
      <c r="AY126" s="818"/>
      <c r="AZ126" s="818"/>
      <c r="BA126" s="818"/>
      <c r="BB126" s="818"/>
      <c r="BC126" s="818"/>
      <c r="BD126" s="818"/>
      <c r="BE126" s="818"/>
      <c r="BF126" s="818"/>
      <c r="BG126" s="818"/>
      <c r="BH126" s="818"/>
      <c r="BI126" s="818"/>
      <c r="BJ126" s="818"/>
      <c r="BK126" s="818"/>
      <c r="BL126" s="818"/>
    </row>
    <row r="127" spans="1:64" ht="17.25" customHeight="1">
      <c r="A127" s="839" t="s">
        <v>127</v>
      </c>
      <c r="B127" s="1335">
        <f>SUM(C127:I127)</f>
        <v>409</v>
      </c>
      <c r="C127" s="1016">
        <f t="shared" ref="C127:I127" si="16">C50</f>
        <v>409</v>
      </c>
      <c r="D127" s="1016">
        <f t="shared" si="16"/>
        <v>0</v>
      </c>
      <c r="E127" s="1016">
        <f t="shared" si="16"/>
        <v>0</v>
      </c>
      <c r="F127" s="1016">
        <f t="shared" si="16"/>
        <v>0</v>
      </c>
      <c r="G127" s="1016">
        <f t="shared" si="16"/>
        <v>0</v>
      </c>
      <c r="H127" s="1016">
        <f t="shared" si="16"/>
        <v>0</v>
      </c>
      <c r="I127" s="1017">
        <f t="shared" si="16"/>
        <v>0</v>
      </c>
      <c r="L127" s="818"/>
      <c r="M127" s="818"/>
      <c r="N127" s="818"/>
      <c r="O127" s="818"/>
      <c r="P127" s="818"/>
      <c r="Q127" s="818"/>
      <c r="R127" s="818"/>
      <c r="S127" s="818"/>
      <c r="T127" s="818"/>
      <c r="U127" s="818"/>
      <c r="V127" s="818"/>
      <c r="W127" s="818"/>
      <c r="X127" s="818"/>
      <c r="Y127" s="818"/>
      <c r="Z127" s="818"/>
      <c r="AA127" s="818"/>
      <c r="AB127" s="818"/>
      <c r="AC127" s="818"/>
      <c r="AD127" s="818"/>
      <c r="AE127" s="818"/>
      <c r="AF127" s="818"/>
      <c r="AG127" s="818"/>
      <c r="AH127" s="818"/>
      <c r="AI127" s="818"/>
      <c r="AJ127" s="818"/>
      <c r="AK127" s="818"/>
      <c r="AL127" s="818"/>
      <c r="AM127" s="818"/>
      <c r="AN127" s="818"/>
      <c r="AO127" s="818"/>
      <c r="AP127" s="818"/>
      <c r="AQ127" s="818"/>
      <c r="AR127" s="818"/>
      <c r="AS127" s="818"/>
      <c r="AT127" s="818"/>
      <c r="AU127" s="818"/>
      <c r="AV127" s="818"/>
      <c r="AW127" s="818"/>
      <c r="AX127" s="818"/>
      <c r="AY127" s="818"/>
      <c r="AZ127" s="818"/>
      <c r="BA127" s="818"/>
      <c r="BB127" s="818"/>
      <c r="BC127" s="818"/>
      <c r="BD127" s="818"/>
      <c r="BE127" s="818"/>
      <c r="BF127" s="818"/>
      <c r="BG127" s="818"/>
      <c r="BH127" s="818"/>
      <c r="BI127" s="818"/>
      <c r="BJ127" s="818"/>
      <c r="BK127" s="818"/>
      <c r="BL127" s="818"/>
    </row>
    <row r="128" spans="1:64" ht="19.5" customHeight="1">
      <c r="A128" s="1226">
        <f>IF(B128&gt;0,"./. Einkommen Kinder",0)</f>
        <v>0</v>
      </c>
      <c r="B128" s="1377">
        <f>SUM(C128:I128)</f>
        <v>0</v>
      </c>
      <c r="C128" s="1378"/>
      <c r="D128" s="1378"/>
      <c r="E128" s="1227">
        <f>E122</f>
        <v>0</v>
      </c>
      <c r="F128" s="1227">
        <f>F122</f>
        <v>0</v>
      </c>
      <c r="G128" s="1227">
        <f>G122</f>
        <v>0</v>
      </c>
      <c r="H128" s="1227">
        <f>H122</f>
        <v>0</v>
      </c>
      <c r="I128" s="1228">
        <f>I122</f>
        <v>0</v>
      </c>
      <c r="L128" s="818"/>
      <c r="M128" s="818"/>
      <c r="N128" s="818"/>
      <c r="O128" s="818"/>
      <c r="P128" s="818"/>
      <c r="Q128" s="818"/>
      <c r="R128" s="818"/>
      <c r="S128" s="818"/>
      <c r="T128" s="818"/>
      <c r="U128" s="818"/>
      <c r="V128" s="818"/>
      <c r="W128" s="818"/>
      <c r="X128" s="818"/>
      <c r="Y128" s="818"/>
      <c r="Z128" s="818"/>
      <c r="AA128" s="818"/>
      <c r="AB128" s="818"/>
      <c r="AC128" s="818"/>
      <c r="AD128" s="818"/>
      <c r="AE128" s="818"/>
      <c r="AF128" s="818"/>
      <c r="AG128" s="818"/>
      <c r="AH128" s="818"/>
      <c r="AI128" s="818"/>
      <c r="AJ128" s="818"/>
      <c r="AK128" s="818"/>
      <c r="AL128" s="818"/>
      <c r="AM128" s="818"/>
      <c r="AN128" s="818"/>
      <c r="AO128" s="818"/>
      <c r="AP128" s="818"/>
      <c r="AQ128" s="818"/>
      <c r="AR128" s="818"/>
      <c r="AS128" s="818"/>
      <c r="AT128" s="818"/>
      <c r="AU128" s="818"/>
      <c r="AV128" s="818"/>
      <c r="AW128" s="818"/>
      <c r="AX128" s="818"/>
      <c r="AY128" s="818"/>
      <c r="AZ128" s="818"/>
      <c r="BA128" s="818"/>
      <c r="BB128" s="818"/>
      <c r="BC128" s="818"/>
      <c r="BD128" s="818"/>
      <c r="BE128" s="818"/>
      <c r="BF128" s="818"/>
      <c r="BG128" s="818"/>
      <c r="BH128" s="818"/>
      <c r="BI128" s="818"/>
      <c r="BJ128" s="818"/>
      <c r="BK128" s="818"/>
      <c r="BL128" s="818"/>
    </row>
    <row r="129" spans="1:64" ht="17.25" hidden="1" customHeight="1">
      <c r="A129" s="1379"/>
      <c r="B129" s="1380"/>
      <c r="C129" s="1380"/>
      <c r="D129" s="1380"/>
      <c r="E129" s="507">
        <f>E127-E128</f>
        <v>0</v>
      </c>
      <c r="F129" s="507">
        <f>F127-F128</f>
        <v>0</v>
      </c>
      <c r="G129" s="507">
        <f>G127-G128</f>
        <v>0</v>
      </c>
      <c r="H129" s="507">
        <f>H127-H128</f>
        <v>0</v>
      </c>
      <c r="I129" s="508">
        <f>I127-I128</f>
        <v>0</v>
      </c>
      <c r="L129" s="818"/>
      <c r="M129" s="818"/>
      <c r="N129" s="818"/>
      <c r="O129" s="818"/>
      <c r="P129" s="818"/>
      <c r="Q129" s="818"/>
      <c r="R129" s="818"/>
      <c r="S129" s="818"/>
      <c r="T129" s="818"/>
      <c r="U129" s="818"/>
      <c r="V129" s="818"/>
      <c r="W129" s="818"/>
      <c r="X129" s="818"/>
      <c r="Y129" s="818"/>
      <c r="Z129" s="818"/>
      <c r="AA129" s="818"/>
      <c r="AB129" s="818"/>
      <c r="AC129" s="818"/>
      <c r="AD129" s="818"/>
      <c r="AE129" s="818"/>
      <c r="AF129" s="818"/>
      <c r="AG129" s="818"/>
      <c r="AH129" s="818"/>
      <c r="AI129" s="818"/>
      <c r="AJ129" s="818"/>
      <c r="AK129" s="818"/>
      <c r="AL129" s="818"/>
      <c r="AM129" s="818"/>
      <c r="AN129" s="818"/>
      <c r="AO129" s="818"/>
      <c r="AP129" s="818"/>
      <c r="AQ129" s="818"/>
      <c r="AR129" s="818"/>
      <c r="AS129" s="818"/>
      <c r="AT129" s="818"/>
      <c r="AU129" s="818"/>
      <c r="AV129" s="818"/>
      <c r="AW129" s="818"/>
      <c r="AX129" s="818"/>
      <c r="AY129" s="818"/>
      <c r="AZ129" s="818"/>
      <c r="BA129" s="818"/>
      <c r="BB129" s="818"/>
      <c r="BC129" s="818"/>
      <c r="BD129" s="818"/>
      <c r="BE129" s="818"/>
      <c r="BF129" s="818"/>
      <c r="BG129" s="818"/>
      <c r="BH129" s="818"/>
      <c r="BI129" s="818"/>
      <c r="BJ129" s="818"/>
      <c r="BK129" s="818"/>
      <c r="BL129" s="818"/>
    </row>
    <row r="130" spans="1:64" ht="17.25" hidden="1" customHeight="1">
      <c r="A130" s="833"/>
      <c r="B130" s="869"/>
      <c r="C130" s="899"/>
      <c r="D130" s="899"/>
      <c r="E130" s="899">
        <f>IF(E129&lt;0,0,E129)</f>
        <v>0</v>
      </c>
      <c r="F130" s="899">
        <f>IF(F129&lt;0,0,F129)</f>
        <v>0</v>
      </c>
      <c r="G130" s="899">
        <f>IF(G129&lt;0,0,G129)</f>
        <v>0</v>
      </c>
      <c r="H130" s="899">
        <f>IF(H129&lt;0,0,H129)</f>
        <v>0</v>
      </c>
      <c r="I130" s="900">
        <f>IF(I129&lt;0,0,I129)</f>
        <v>0</v>
      </c>
      <c r="L130" s="818"/>
      <c r="M130" s="818"/>
      <c r="N130" s="818"/>
      <c r="O130" s="818"/>
      <c r="P130" s="818"/>
      <c r="Q130" s="818"/>
      <c r="R130" s="818"/>
      <c r="S130" s="818"/>
      <c r="T130" s="818"/>
      <c r="U130" s="818"/>
      <c r="V130" s="818"/>
      <c r="W130" s="818"/>
      <c r="X130" s="818"/>
      <c r="Y130" s="818"/>
      <c r="Z130" s="818"/>
      <c r="AA130" s="818"/>
      <c r="AB130" s="818"/>
      <c r="AC130" s="818"/>
      <c r="AD130" s="818"/>
      <c r="AE130" s="818"/>
      <c r="AF130" s="818"/>
      <c r="AG130" s="818"/>
      <c r="AH130" s="818"/>
      <c r="AI130" s="818"/>
      <c r="AJ130" s="818"/>
      <c r="AK130" s="818"/>
      <c r="AL130" s="818"/>
      <c r="AM130" s="818"/>
      <c r="AN130" s="818"/>
      <c r="AO130" s="818"/>
      <c r="AP130" s="818"/>
      <c r="AQ130" s="818"/>
      <c r="AR130" s="818"/>
      <c r="AS130" s="818"/>
      <c r="AT130" s="818"/>
      <c r="AU130" s="818"/>
      <c r="AV130" s="818"/>
      <c r="AW130" s="818"/>
      <c r="AX130" s="818"/>
      <c r="AY130" s="818"/>
      <c r="AZ130" s="818"/>
      <c r="BA130" s="818"/>
      <c r="BB130" s="818"/>
      <c r="BC130" s="818"/>
      <c r="BD130" s="818"/>
      <c r="BE130" s="818"/>
      <c r="BF130" s="818"/>
      <c r="BG130" s="818"/>
      <c r="BH130" s="818"/>
      <c r="BI130" s="818"/>
      <c r="BJ130" s="818"/>
      <c r="BK130" s="818"/>
      <c r="BL130" s="818"/>
    </row>
    <row r="131" spans="1:64" ht="19.5" customHeight="1">
      <c r="A131" s="1342" t="s">
        <v>2170</v>
      </c>
      <c r="B131" s="1335">
        <f>SUM(C131:I131)</f>
        <v>409</v>
      </c>
      <c r="C131" s="1016">
        <f>C127</f>
        <v>409</v>
      </c>
      <c r="D131" s="1016">
        <f>D127</f>
        <v>0</v>
      </c>
      <c r="E131" s="1016">
        <f>E130</f>
        <v>0</v>
      </c>
      <c r="F131" s="1016">
        <f>F130</f>
        <v>0</v>
      </c>
      <c r="G131" s="1016">
        <f>G130</f>
        <v>0</v>
      </c>
      <c r="H131" s="1016">
        <f>H130</f>
        <v>0</v>
      </c>
      <c r="I131" s="1017">
        <f>I130</f>
        <v>0</v>
      </c>
      <c r="K131" s="1768"/>
      <c r="L131" s="818"/>
      <c r="M131" s="818"/>
      <c r="N131" s="818"/>
      <c r="O131" s="818"/>
      <c r="P131" s="818"/>
      <c r="Q131" s="818"/>
      <c r="R131" s="818"/>
      <c r="S131" s="818"/>
      <c r="T131" s="818"/>
      <c r="U131" s="818"/>
      <c r="V131" s="818"/>
      <c r="W131" s="818"/>
      <c r="X131" s="818"/>
      <c r="Y131" s="818"/>
      <c r="Z131" s="818"/>
      <c r="AA131" s="818"/>
      <c r="AB131" s="818"/>
      <c r="AC131" s="818"/>
      <c r="AD131" s="818"/>
      <c r="AE131" s="818"/>
      <c r="AF131" s="818"/>
      <c r="AG131" s="818"/>
      <c r="AH131" s="818"/>
      <c r="AI131" s="818"/>
      <c r="AJ131" s="818"/>
      <c r="AK131" s="818"/>
      <c r="AL131" s="818"/>
      <c r="AM131" s="818"/>
      <c r="AN131" s="818"/>
      <c r="AO131" s="818"/>
      <c r="AP131" s="818"/>
      <c r="AQ131" s="818"/>
      <c r="AR131" s="818"/>
      <c r="AS131" s="818"/>
      <c r="AT131" s="818"/>
      <c r="AU131" s="818"/>
      <c r="AV131" s="818"/>
      <c r="AW131" s="818"/>
      <c r="AX131" s="818"/>
      <c r="AY131" s="818"/>
      <c r="AZ131" s="818"/>
      <c r="BA131" s="818"/>
      <c r="BB131" s="818"/>
      <c r="BC131" s="818"/>
      <c r="BD131" s="818"/>
      <c r="BE131" s="818"/>
      <c r="BF131" s="818"/>
      <c r="BG131" s="818"/>
      <c r="BH131" s="818"/>
      <c r="BI131" s="818"/>
      <c r="BJ131" s="818"/>
      <c r="BK131" s="818"/>
      <c r="BL131" s="818"/>
    </row>
    <row r="132" spans="1:64" ht="18" hidden="1" customHeight="1">
      <c r="A132" s="1342"/>
      <c r="B132" s="1335">
        <f>SUM(C132:I132)</f>
        <v>409</v>
      </c>
      <c r="C132" s="1016">
        <f>IF(C10="ja",C131,0)</f>
        <v>409</v>
      </c>
      <c r="D132" s="1016">
        <f>IF(D10="ja",D131,0)</f>
        <v>0</v>
      </c>
      <c r="E132" s="1016">
        <f>IF(AND(EingabenÄnderungen!E37=0,E10="ja"),E131,0)</f>
        <v>0</v>
      </c>
      <c r="F132" s="1016">
        <f>IF(F10="ja",F131,0)</f>
        <v>0</v>
      </c>
      <c r="G132" s="1016">
        <f>IF(G10="ja",G131,0)</f>
        <v>0</v>
      </c>
      <c r="H132" s="1016">
        <f>IF(H10="ja",H131,0)</f>
        <v>0</v>
      </c>
      <c r="I132" s="1017">
        <f>IF(I10="ja",I131,0)</f>
        <v>0</v>
      </c>
      <c r="L132" s="818"/>
      <c r="M132" s="818"/>
      <c r="N132" s="818"/>
      <c r="O132" s="818"/>
      <c r="P132" s="818"/>
      <c r="Q132" s="818"/>
      <c r="R132" s="818"/>
      <c r="S132" s="818"/>
      <c r="T132" s="818"/>
      <c r="U132" s="818"/>
      <c r="V132" s="818"/>
      <c r="W132" s="818"/>
      <c r="X132" s="818"/>
      <c r="Y132" s="818"/>
      <c r="Z132" s="818"/>
      <c r="AA132" s="818"/>
      <c r="AB132" s="818"/>
      <c r="AC132" s="818"/>
      <c r="AD132" s="818"/>
      <c r="AE132" s="818"/>
      <c r="AF132" s="818"/>
      <c r="AG132" s="818"/>
      <c r="AH132" s="818"/>
      <c r="AI132" s="818"/>
      <c r="AJ132" s="818"/>
      <c r="AK132" s="818"/>
      <c r="AL132" s="818"/>
      <c r="AM132" s="818"/>
      <c r="AN132" s="818"/>
      <c r="AO132" s="818"/>
      <c r="AP132" s="818"/>
      <c r="AQ132" s="818"/>
      <c r="AR132" s="818"/>
      <c r="AS132" s="818"/>
      <c r="AT132" s="818"/>
      <c r="AU132" s="818"/>
      <c r="AV132" s="818"/>
      <c r="AW132" s="818"/>
      <c r="AX132" s="818"/>
      <c r="AY132" s="818"/>
      <c r="AZ132" s="818"/>
      <c r="BA132" s="818"/>
      <c r="BB132" s="818"/>
      <c r="BC132" s="818"/>
      <c r="BD132" s="818"/>
      <c r="BE132" s="818"/>
      <c r="BF132" s="818"/>
      <c r="BG132" s="818"/>
      <c r="BH132" s="818"/>
      <c r="BI132" s="818"/>
      <c r="BJ132" s="818"/>
      <c r="BK132" s="818"/>
      <c r="BL132" s="818"/>
    </row>
    <row r="133" spans="1:64" ht="17.25" customHeight="1">
      <c r="A133" s="1382" t="s">
        <v>2171</v>
      </c>
      <c r="B133" s="1383">
        <f>SUM(C133:I133)</f>
        <v>1</v>
      </c>
      <c r="C133" s="1384">
        <f>IF(AND(B132&gt;0,C10="ja"),C132/B132,0)</f>
        <v>1</v>
      </c>
      <c r="D133" s="1384">
        <f t="shared" ref="D133:I133" si="17">IF(AND($B$132&gt;0,D11&gt;0,D10="ja"),D132/$B$132,0)</f>
        <v>0</v>
      </c>
      <c r="E133" s="1384">
        <f t="shared" si="17"/>
        <v>0</v>
      </c>
      <c r="F133" s="1384">
        <f t="shared" si="17"/>
        <v>0</v>
      </c>
      <c r="G133" s="1384">
        <f t="shared" si="17"/>
        <v>0</v>
      </c>
      <c r="H133" s="1384">
        <f t="shared" si="17"/>
        <v>0</v>
      </c>
      <c r="I133" s="1385">
        <f t="shared" si="17"/>
        <v>0</v>
      </c>
      <c r="L133" s="818"/>
      <c r="M133" s="818"/>
      <c r="N133" s="818"/>
      <c r="O133" s="818"/>
      <c r="P133" s="818"/>
      <c r="Q133" s="818"/>
      <c r="R133" s="818"/>
      <c r="S133" s="818"/>
      <c r="T133" s="818"/>
      <c r="U133" s="818"/>
      <c r="V133" s="818"/>
      <c r="W133" s="818"/>
      <c r="X133" s="818"/>
      <c r="Y133" s="818"/>
      <c r="Z133" s="818"/>
      <c r="AA133" s="818"/>
      <c r="AB133" s="818"/>
      <c r="AC133" s="818"/>
      <c r="AD133" s="818"/>
      <c r="AE133" s="818"/>
      <c r="AF133" s="818"/>
      <c r="AG133" s="818"/>
      <c r="AH133" s="818"/>
      <c r="AI133" s="818"/>
      <c r="AJ133" s="818"/>
      <c r="AK133" s="818"/>
      <c r="AL133" s="818"/>
      <c r="AM133" s="818"/>
      <c r="AN133" s="818"/>
      <c r="AO133" s="818"/>
      <c r="AP133" s="818"/>
      <c r="AQ133" s="818"/>
      <c r="AR133" s="818"/>
      <c r="AS133" s="818"/>
      <c r="AT133" s="818"/>
      <c r="AU133" s="818"/>
      <c r="AV133" s="818"/>
      <c r="AW133" s="818"/>
      <c r="AX133" s="818"/>
      <c r="AY133" s="818"/>
      <c r="AZ133" s="818"/>
      <c r="BA133" s="818"/>
      <c r="BB133" s="818"/>
      <c r="BC133" s="818"/>
      <c r="BD133" s="818"/>
      <c r="BE133" s="818"/>
      <c r="BF133" s="818"/>
      <c r="BG133" s="818"/>
      <c r="BH133" s="818"/>
      <c r="BI133" s="818"/>
      <c r="BJ133" s="818"/>
      <c r="BK133" s="818"/>
      <c r="BL133" s="818"/>
    </row>
    <row r="134" spans="1:64" ht="19.5" hidden="1" customHeight="1">
      <c r="A134" s="1386"/>
      <c r="B134" s="522"/>
      <c r="C134" s="1384"/>
      <c r="D134" s="1384"/>
      <c r="E134" s="522">
        <f>IF(E129&lt;0,E129,0)</f>
        <v>0</v>
      </c>
      <c r="F134" s="522">
        <f>IF(F129&lt;0,F129,0)</f>
        <v>0</v>
      </c>
      <c r="G134" s="522">
        <f>IF(G129&lt;0,G129,0)</f>
        <v>0</v>
      </c>
      <c r="H134" s="522">
        <f>IF(H129&lt;0,H129,0)</f>
        <v>0</v>
      </c>
      <c r="I134" s="523">
        <f>IF(I129&lt;0,I129,0)</f>
        <v>0</v>
      </c>
      <c r="L134" s="818"/>
      <c r="M134" s="818"/>
      <c r="N134" s="818"/>
      <c r="O134" s="818"/>
      <c r="P134" s="818"/>
      <c r="Q134" s="818"/>
      <c r="R134" s="818"/>
      <c r="S134" s="818"/>
      <c r="T134" s="818"/>
      <c r="U134" s="818"/>
      <c r="V134" s="818"/>
      <c r="W134" s="818"/>
      <c r="X134" s="818"/>
      <c r="Y134" s="818"/>
      <c r="Z134" s="818"/>
      <c r="AA134" s="818"/>
      <c r="AB134" s="818"/>
      <c r="AC134" s="818"/>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18"/>
      <c r="AY134" s="818"/>
      <c r="AZ134" s="818"/>
      <c r="BA134" s="818"/>
      <c r="BB134" s="818"/>
      <c r="BC134" s="818"/>
      <c r="BD134" s="818"/>
      <c r="BE134" s="818"/>
      <c r="BF134" s="818"/>
      <c r="BG134" s="818"/>
      <c r="BH134" s="818"/>
      <c r="BI134" s="818"/>
      <c r="BJ134" s="818"/>
      <c r="BK134" s="818"/>
      <c r="BL134" s="818"/>
    </row>
    <row r="135" spans="1:64" ht="16.5" hidden="1" customHeight="1">
      <c r="A135" s="1387"/>
      <c r="B135" s="637"/>
      <c r="C135" s="637"/>
      <c r="D135" s="637"/>
      <c r="E135" s="637">
        <f>IF(E134&lt;-E62,-E62,E134)</f>
        <v>0</v>
      </c>
      <c r="F135" s="637">
        <f>IF(F134&lt;-F62,-F62,F134)</f>
        <v>0</v>
      </c>
      <c r="G135" s="637">
        <f>IF(G134&lt;-G62,-G62,G134)</f>
        <v>0</v>
      </c>
      <c r="H135" s="637">
        <f>IF(H134&lt;-H62,-H62,H134)</f>
        <v>0</v>
      </c>
      <c r="I135" s="638">
        <f>IF(I134&lt;-I62,-I62,I134)</f>
        <v>0</v>
      </c>
      <c r="L135" s="818"/>
      <c r="M135" s="818"/>
      <c r="N135" s="818"/>
      <c r="O135" s="818"/>
      <c r="P135" s="818"/>
      <c r="Q135" s="818"/>
      <c r="R135" s="818"/>
      <c r="S135" s="818"/>
      <c r="T135" s="818"/>
      <c r="U135" s="818"/>
      <c r="V135" s="818"/>
      <c r="W135" s="818"/>
      <c r="X135" s="818"/>
      <c r="Y135" s="818"/>
      <c r="Z135" s="818"/>
      <c r="AA135" s="818"/>
      <c r="AB135" s="818"/>
      <c r="AC135" s="818"/>
      <c r="AD135" s="818"/>
      <c r="AE135" s="818"/>
      <c r="AF135" s="818"/>
      <c r="AG135" s="818"/>
      <c r="AH135" s="818"/>
      <c r="AI135" s="818"/>
      <c r="AJ135" s="818"/>
      <c r="AK135" s="818"/>
      <c r="AL135" s="818"/>
      <c r="AM135" s="818"/>
      <c r="AN135" s="818"/>
      <c r="AO135" s="818"/>
      <c r="AP135" s="818"/>
      <c r="AQ135" s="818"/>
      <c r="AR135" s="818"/>
      <c r="AS135" s="818"/>
      <c r="AT135" s="818"/>
      <c r="AU135" s="818"/>
      <c r="AV135" s="818"/>
      <c r="AW135" s="818"/>
      <c r="AX135" s="818"/>
      <c r="AY135" s="818"/>
      <c r="AZ135" s="818"/>
      <c r="BA135" s="818"/>
      <c r="BB135" s="818"/>
      <c r="BC135" s="818"/>
      <c r="BD135" s="818"/>
      <c r="BE135" s="818"/>
      <c r="BF135" s="818"/>
      <c r="BG135" s="818"/>
      <c r="BH135" s="818"/>
      <c r="BI135" s="818"/>
      <c r="BJ135" s="818"/>
      <c r="BK135" s="818"/>
      <c r="BL135" s="818"/>
    </row>
    <row r="136" spans="1:64" ht="19.5" hidden="1" customHeight="1">
      <c r="A136" s="1387"/>
      <c r="B136" s="637">
        <f>SUM(E136:I136)</f>
        <v>0</v>
      </c>
      <c r="C136" s="637"/>
      <c r="D136" s="637"/>
      <c r="E136" s="637">
        <f>-E135*1</f>
        <v>0</v>
      </c>
      <c r="F136" s="637">
        <f>-F135*1</f>
        <v>0</v>
      </c>
      <c r="G136" s="637">
        <f>-G135*1</f>
        <v>0</v>
      </c>
      <c r="H136" s="637">
        <f>-H135*1</f>
        <v>0</v>
      </c>
      <c r="I136" s="638">
        <f>-I135*1</f>
        <v>0</v>
      </c>
      <c r="L136" s="818"/>
      <c r="M136" s="818"/>
      <c r="N136" s="818"/>
      <c r="O136" s="818"/>
      <c r="P136" s="818"/>
      <c r="Q136" s="818"/>
      <c r="R136" s="818"/>
      <c r="S136" s="818"/>
      <c r="T136" s="818"/>
      <c r="U136" s="818"/>
      <c r="V136" s="818"/>
      <c r="W136" s="818"/>
      <c r="X136" s="818"/>
      <c r="Y136" s="818"/>
      <c r="Z136" s="818"/>
      <c r="AA136" s="818"/>
      <c r="AB136" s="818"/>
      <c r="AC136" s="818"/>
      <c r="AD136" s="818"/>
      <c r="AE136" s="818"/>
      <c r="AF136" s="818"/>
      <c r="AG136" s="818"/>
      <c r="AH136" s="818"/>
      <c r="AI136" s="818"/>
      <c r="AJ136" s="818"/>
      <c r="AK136" s="818"/>
      <c r="AL136" s="818"/>
      <c r="AM136" s="818"/>
      <c r="AN136" s="818"/>
      <c r="AO136" s="818"/>
      <c r="AP136" s="818"/>
      <c r="AQ136" s="818"/>
      <c r="AR136" s="818"/>
      <c r="AS136" s="818"/>
      <c r="AT136" s="818"/>
      <c r="AU136" s="818"/>
      <c r="AV136" s="818"/>
      <c r="AW136" s="818"/>
      <c r="AX136" s="818"/>
      <c r="AY136" s="818"/>
      <c r="AZ136" s="818"/>
      <c r="BA136" s="818"/>
      <c r="BB136" s="818"/>
      <c r="BC136" s="818"/>
      <c r="BD136" s="818"/>
      <c r="BE136" s="818"/>
      <c r="BF136" s="818"/>
      <c r="BG136" s="818"/>
      <c r="BH136" s="818"/>
      <c r="BI136" s="818"/>
      <c r="BJ136" s="818"/>
      <c r="BK136" s="818"/>
      <c r="BL136" s="818"/>
    </row>
    <row r="137" spans="1:64" ht="18" customHeight="1">
      <c r="A137" s="1246">
        <f>IF(OR(C137&gt;0,D137&gt;0),"übertragbares Kindergeld",0)</f>
        <v>0</v>
      </c>
      <c r="B137" s="1769"/>
      <c r="C137" s="1770">
        <f>IF(Zusatzeingaben!C229=1,$B$136,0)</f>
        <v>0</v>
      </c>
      <c r="D137" s="1771">
        <f>IF(Zusatzeingaben!D229=1,$B$136,0)</f>
        <v>0</v>
      </c>
      <c r="E137" s="1391"/>
      <c r="F137" s="1391"/>
      <c r="G137" s="1391"/>
      <c r="H137" s="1391"/>
      <c r="I137" s="1392"/>
      <c r="L137" s="818"/>
      <c r="M137" s="818"/>
      <c r="N137" s="818"/>
      <c r="O137" s="818"/>
      <c r="P137" s="818"/>
      <c r="Q137" s="818"/>
      <c r="R137" s="818"/>
      <c r="S137" s="818"/>
      <c r="T137" s="818"/>
      <c r="U137" s="818"/>
      <c r="V137" s="818"/>
      <c r="W137" s="818"/>
      <c r="X137" s="818"/>
      <c r="Y137" s="818"/>
      <c r="Z137" s="818"/>
      <c r="AA137" s="818"/>
      <c r="AB137" s="818"/>
      <c r="AC137" s="818"/>
      <c r="AD137" s="818"/>
      <c r="AE137" s="818"/>
      <c r="AF137" s="818"/>
      <c r="AG137" s="818"/>
      <c r="AH137" s="818"/>
      <c r="AI137" s="818"/>
      <c r="AJ137" s="818"/>
      <c r="AK137" s="818"/>
      <c r="AL137" s="818"/>
      <c r="AM137" s="818"/>
      <c r="AN137" s="818"/>
      <c r="AO137" s="818"/>
      <c r="AP137" s="818"/>
      <c r="AQ137" s="818"/>
      <c r="AR137" s="818"/>
      <c r="AS137" s="818"/>
      <c r="AT137" s="818"/>
      <c r="AU137" s="818"/>
      <c r="AV137" s="818"/>
      <c r="AW137" s="818"/>
      <c r="AX137" s="818"/>
      <c r="AY137" s="818"/>
      <c r="AZ137" s="818"/>
      <c r="BA137" s="818"/>
      <c r="BB137" s="818"/>
      <c r="BC137" s="818"/>
      <c r="BD137" s="818"/>
      <c r="BE137" s="818"/>
      <c r="BF137" s="818"/>
      <c r="BG137" s="818"/>
      <c r="BH137" s="818"/>
      <c r="BI137" s="818"/>
      <c r="BJ137" s="818"/>
      <c r="BK137" s="818"/>
      <c r="BL137" s="818"/>
    </row>
    <row r="138" spans="1:64" ht="19.5" hidden="1" customHeight="1">
      <c r="A138" s="1388"/>
      <c r="B138" s="1380"/>
      <c r="C138" s="1390">
        <f>IF(AND(C122=0,C137&gt;0),30+EingabenÄnderungen!C202+EingabenÄnderungen!C203+EingabenÄnderungen!C210,0)</f>
        <v>0</v>
      </c>
      <c r="D138" s="1390">
        <f>IF(AND(D122=0,D137&gt;0),30+EingabenÄnderungen!D202+EingabenÄnderungen!D203+EingabenÄnderungen!D210,0)</f>
        <v>0</v>
      </c>
      <c r="E138" s="1390">
        <f>IF(AND(E122=0,E137&gt;0),30+EingabenÄnderungen!E202+EingabenÄnderungen!E203+EingabenÄnderungen!E210,0)</f>
        <v>0</v>
      </c>
      <c r="F138" s="1390">
        <f>IF(AND(F122=0,F137&gt;0),30+EingabenÄnderungen!F202+EingabenÄnderungen!F203+EingabenÄnderungen!F210,0)</f>
        <v>0</v>
      </c>
      <c r="G138" s="1390">
        <f>IF(AND(G122=0,G137&gt;0),30+EingabenÄnderungen!G202+EingabenÄnderungen!G203+EingabenÄnderungen!G210,0)</f>
        <v>0</v>
      </c>
      <c r="H138" s="1390">
        <f>IF(AND(H122=0,H137&gt;0),30+EingabenÄnderungen!H202+EingabenÄnderungen!H203+EingabenÄnderungen!H210,0)</f>
        <v>0</v>
      </c>
      <c r="I138" s="1390">
        <f>IF(AND(I122=0,I137&gt;0),30+EingabenÄnderungen!I202+EingabenÄnderungen!I203+EingabenÄnderungen!I210,0)</f>
        <v>0</v>
      </c>
      <c r="L138" s="818"/>
      <c r="M138" s="818"/>
      <c r="N138" s="818"/>
      <c r="O138" s="818"/>
      <c r="P138" s="818"/>
      <c r="Q138" s="818"/>
      <c r="R138" s="818"/>
      <c r="S138" s="818"/>
      <c r="T138" s="818"/>
      <c r="U138" s="818"/>
      <c r="V138" s="818"/>
      <c r="W138" s="818"/>
      <c r="X138" s="818"/>
      <c r="Y138" s="818"/>
      <c r="Z138" s="818"/>
      <c r="AA138" s="818"/>
      <c r="AB138" s="818"/>
      <c r="AC138" s="818"/>
      <c r="AD138" s="818"/>
      <c r="AE138" s="818"/>
      <c r="AF138" s="818"/>
      <c r="AG138" s="818"/>
      <c r="AH138" s="818"/>
      <c r="AI138" s="818"/>
      <c r="AJ138" s="818"/>
      <c r="AK138" s="818"/>
      <c r="AL138" s="818"/>
      <c r="AM138" s="818"/>
      <c r="AN138" s="818"/>
      <c r="AO138" s="818"/>
      <c r="AP138" s="818"/>
      <c r="AQ138" s="818"/>
      <c r="AR138" s="818"/>
      <c r="AS138" s="818"/>
      <c r="AT138" s="818"/>
      <c r="AU138" s="818"/>
      <c r="AV138" s="818"/>
      <c r="AW138" s="818"/>
      <c r="AX138" s="818"/>
      <c r="AY138" s="818"/>
      <c r="AZ138" s="818"/>
      <c r="BA138" s="818"/>
      <c r="BB138" s="818"/>
      <c r="BC138" s="818"/>
      <c r="BD138" s="818"/>
      <c r="BE138" s="818"/>
      <c r="BF138" s="818"/>
      <c r="BG138" s="818"/>
      <c r="BH138" s="818"/>
      <c r="BI138" s="818"/>
      <c r="BJ138" s="818"/>
      <c r="BK138" s="818"/>
      <c r="BL138" s="818"/>
    </row>
    <row r="139" spans="1:64" ht="19.5" hidden="1" customHeight="1">
      <c r="A139" s="1388"/>
      <c r="B139" s="1380"/>
      <c r="C139" s="1390">
        <f>C137-C138</f>
        <v>0</v>
      </c>
      <c r="D139" s="1390">
        <f>D137-D138</f>
        <v>0</v>
      </c>
      <c r="E139" s="1391"/>
      <c r="F139" s="1391"/>
      <c r="G139" s="1391"/>
      <c r="H139" s="1391"/>
      <c r="I139" s="1392"/>
      <c r="L139" s="818"/>
      <c r="M139" s="818"/>
      <c r="N139" s="818"/>
      <c r="O139" s="818"/>
      <c r="P139" s="818"/>
      <c r="Q139" s="818"/>
      <c r="R139" s="818"/>
      <c r="S139" s="818"/>
      <c r="T139" s="818"/>
      <c r="U139" s="818"/>
      <c r="V139" s="818"/>
      <c r="W139" s="818"/>
      <c r="X139" s="818"/>
      <c r="Y139" s="818"/>
      <c r="Z139" s="818"/>
      <c r="AA139" s="818"/>
      <c r="AB139" s="818"/>
      <c r="AC139" s="818"/>
      <c r="AD139" s="818"/>
      <c r="AE139" s="818"/>
      <c r="AF139" s="818"/>
      <c r="AG139" s="818"/>
      <c r="AH139" s="818"/>
      <c r="AI139" s="818"/>
      <c r="AJ139" s="818"/>
      <c r="AK139" s="818"/>
      <c r="AL139" s="818"/>
      <c r="AM139" s="818"/>
      <c r="AN139" s="818"/>
      <c r="AO139" s="818"/>
      <c r="AP139" s="818"/>
      <c r="AQ139" s="818"/>
      <c r="AR139" s="818"/>
      <c r="AS139" s="818"/>
      <c r="AT139" s="818"/>
      <c r="AU139" s="818"/>
      <c r="AV139" s="818"/>
      <c r="AW139" s="818"/>
      <c r="AX139" s="818"/>
      <c r="AY139" s="818"/>
      <c r="AZ139" s="818"/>
      <c r="BA139" s="818"/>
      <c r="BB139" s="818"/>
      <c r="BC139" s="818"/>
      <c r="BD139" s="818"/>
      <c r="BE139" s="818"/>
      <c r="BF139" s="818"/>
      <c r="BG139" s="818"/>
      <c r="BH139" s="818"/>
      <c r="BI139" s="818"/>
      <c r="BJ139" s="818"/>
      <c r="BK139" s="818"/>
      <c r="BL139" s="818"/>
    </row>
    <row r="140" spans="1:64" ht="19.5" hidden="1" customHeight="1">
      <c r="A140" s="1388"/>
      <c r="B140" s="1380"/>
      <c r="C140" s="1390">
        <f>IF(C139&lt;0,0,C139)</f>
        <v>0</v>
      </c>
      <c r="D140" s="1390">
        <f>IF(D139&lt;0,0,D139)</f>
        <v>0</v>
      </c>
      <c r="E140" s="1391"/>
      <c r="F140" s="1391"/>
      <c r="G140" s="1391"/>
      <c r="H140" s="1391"/>
      <c r="I140" s="1392"/>
      <c r="L140" s="818"/>
      <c r="M140" s="818"/>
      <c r="N140" s="818"/>
      <c r="O140" s="818"/>
      <c r="P140" s="818"/>
      <c r="Q140" s="818"/>
      <c r="R140" s="818"/>
      <c r="S140" s="818"/>
      <c r="T140" s="818"/>
      <c r="U140" s="818"/>
      <c r="V140" s="818"/>
      <c r="W140" s="818"/>
      <c r="X140" s="818"/>
      <c r="Y140" s="818"/>
      <c r="Z140" s="818"/>
      <c r="AA140" s="818"/>
      <c r="AB140" s="818"/>
      <c r="AC140" s="818"/>
      <c r="AD140" s="818"/>
      <c r="AE140" s="818"/>
      <c r="AF140" s="818"/>
      <c r="AG140" s="818"/>
      <c r="AH140" s="818"/>
      <c r="AI140" s="818"/>
      <c r="AJ140" s="818"/>
      <c r="AK140" s="818"/>
      <c r="AL140" s="818"/>
      <c r="AM140" s="818"/>
      <c r="AN140" s="818"/>
      <c r="AO140" s="818"/>
      <c r="AP140" s="818"/>
      <c r="AQ140" s="818"/>
      <c r="AR140" s="818"/>
      <c r="AS140" s="818"/>
      <c r="AT140" s="818"/>
      <c r="AU140" s="818"/>
      <c r="AV140" s="818"/>
      <c r="AW140" s="818"/>
      <c r="AX140" s="818"/>
      <c r="AY140" s="818"/>
      <c r="AZ140" s="818"/>
      <c r="BA140" s="818"/>
      <c r="BB140" s="818"/>
      <c r="BC140" s="818"/>
      <c r="BD140" s="818"/>
      <c r="BE140" s="818"/>
      <c r="BF140" s="818"/>
      <c r="BG140" s="818"/>
      <c r="BH140" s="818"/>
      <c r="BI140" s="818"/>
      <c r="BJ140" s="818"/>
      <c r="BK140" s="818"/>
      <c r="BL140" s="818"/>
    </row>
    <row r="141" spans="1:64" ht="17.25" customHeight="1">
      <c r="A141" s="1386" t="s">
        <v>175</v>
      </c>
      <c r="B141" s="1394">
        <f>C141+D141</f>
        <v>0</v>
      </c>
      <c r="C141" s="522">
        <f>C122+C140</f>
        <v>0</v>
      </c>
      <c r="D141" s="522">
        <f>D122+D140</f>
        <v>0</v>
      </c>
      <c r="E141" s="1395"/>
      <c r="F141" s="1395"/>
      <c r="G141" s="1395"/>
      <c r="H141" s="1395"/>
      <c r="I141" s="1396"/>
      <c r="L141" s="818"/>
      <c r="M141" s="818"/>
      <c r="N141" s="818"/>
      <c r="O141" s="818"/>
      <c r="P141" s="818"/>
      <c r="Q141" s="818"/>
      <c r="R141" s="818"/>
      <c r="S141" s="818"/>
      <c r="T141" s="818"/>
      <c r="U141" s="818"/>
      <c r="V141" s="818"/>
      <c r="W141" s="818"/>
      <c r="X141" s="818"/>
      <c r="Y141" s="818"/>
      <c r="Z141" s="818"/>
      <c r="AA141" s="818"/>
      <c r="AB141" s="818"/>
      <c r="AC141" s="818"/>
      <c r="AD141" s="818"/>
      <c r="AE141" s="818"/>
      <c r="AF141" s="818"/>
      <c r="AG141" s="818"/>
      <c r="AH141" s="818"/>
      <c r="AI141" s="818"/>
      <c r="AJ141" s="818"/>
      <c r="AK141" s="818"/>
      <c r="AL141" s="818"/>
      <c r="AM141" s="818"/>
      <c r="AN141" s="818"/>
      <c r="AO141" s="818"/>
      <c r="AP141" s="818"/>
      <c r="AQ141" s="818"/>
      <c r="AR141" s="818"/>
      <c r="AS141" s="818"/>
      <c r="AT141" s="818"/>
      <c r="AU141" s="818"/>
      <c r="AV141" s="818"/>
      <c r="AW141" s="818"/>
      <c r="AX141" s="818"/>
      <c r="AY141" s="818"/>
      <c r="AZ141" s="818"/>
      <c r="BA141" s="818"/>
      <c r="BB141" s="818"/>
      <c r="BC141" s="818"/>
      <c r="BD141" s="818"/>
      <c r="BE141" s="818"/>
      <c r="BF141" s="818"/>
      <c r="BG141" s="818"/>
      <c r="BH141" s="818"/>
      <c r="BI141" s="818"/>
      <c r="BJ141" s="818"/>
      <c r="BK141" s="818"/>
      <c r="BL141" s="818"/>
    </row>
    <row r="142" spans="1:64" ht="16.5" hidden="1" customHeight="1">
      <c r="A142" s="1037"/>
      <c r="B142" s="981"/>
      <c r="C142" s="637">
        <f>C127-C141</f>
        <v>409</v>
      </c>
      <c r="D142" s="637">
        <f>D127-D141</f>
        <v>0</v>
      </c>
      <c r="E142" s="981"/>
      <c r="F142" s="981"/>
      <c r="G142" s="981"/>
      <c r="H142" s="981"/>
      <c r="I142" s="1397"/>
      <c r="L142" s="818"/>
      <c r="M142" s="818"/>
      <c r="N142" s="818"/>
      <c r="O142" s="818"/>
      <c r="P142" s="818"/>
      <c r="Q142" s="818"/>
      <c r="R142" s="818"/>
      <c r="S142" s="818"/>
      <c r="T142" s="818"/>
      <c r="U142" s="818"/>
      <c r="V142" s="818"/>
      <c r="W142" s="818"/>
      <c r="X142" s="818"/>
      <c r="Y142" s="818"/>
      <c r="Z142" s="818"/>
      <c r="AA142" s="818"/>
      <c r="AB142" s="818"/>
      <c r="AC142" s="818"/>
      <c r="AD142" s="818"/>
      <c r="AE142" s="818"/>
      <c r="AF142" s="818"/>
      <c r="AG142" s="818"/>
      <c r="AH142" s="818"/>
      <c r="AI142" s="818"/>
      <c r="AJ142" s="818"/>
      <c r="AK142" s="818"/>
      <c r="AL142" s="818"/>
      <c r="AM142" s="818"/>
      <c r="AN142" s="818"/>
      <c r="AO142" s="818"/>
      <c r="AP142" s="818"/>
      <c r="AQ142" s="818"/>
      <c r="AR142" s="818"/>
      <c r="AS142" s="818"/>
      <c r="AT142" s="818"/>
      <c r="AU142" s="818"/>
      <c r="AV142" s="818"/>
      <c r="AW142" s="818"/>
      <c r="AX142" s="818"/>
      <c r="AY142" s="818"/>
      <c r="AZ142" s="818"/>
      <c r="BA142" s="818"/>
      <c r="BB142" s="818"/>
      <c r="BC142" s="818"/>
      <c r="BD142" s="818"/>
      <c r="BE142" s="818"/>
      <c r="BF142" s="818"/>
      <c r="BG142" s="818"/>
      <c r="BH142" s="818"/>
      <c r="BI142" s="818"/>
      <c r="BJ142" s="818"/>
      <c r="BK142" s="818"/>
      <c r="BL142" s="818"/>
    </row>
    <row r="143" spans="1:64" ht="16.5" hidden="1" customHeight="1">
      <c r="A143" s="1037"/>
      <c r="B143" s="981"/>
      <c r="C143" s="637">
        <f>-1*C142</f>
        <v>-409</v>
      </c>
      <c r="D143" s="637">
        <f>-1*D142</f>
        <v>0</v>
      </c>
      <c r="E143" s="981"/>
      <c r="F143" s="981"/>
      <c r="G143" s="981"/>
      <c r="H143" s="981"/>
      <c r="I143" s="1397"/>
      <c r="L143" s="818"/>
      <c r="M143" s="818"/>
      <c r="N143" s="818"/>
      <c r="O143" s="818"/>
      <c r="P143" s="818"/>
      <c r="Q143" s="818"/>
      <c r="R143" s="818"/>
      <c r="S143" s="818"/>
      <c r="T143" s="818"/>
      <c r="U143" s="818"/>
      <c r="V143" s="818"/>
      <c r="W143" s="818"/>
      <c r="X143" s="818"/>
      <c r="Y143" s="818"/>
      <c r="Z143" s="818"/>
      <c r="AA143" s="818"/>
      <c r="AB143" s="818"/>
      <c r="AC143" s="818"/>
      <c r="AD143" s="818"/>
      <c r="AE143" s="818"/>
      <c r="AF143" s="818"/>
      <c r="AG143" s="818"/>
      <c r="AH143" s="818"/>
      <c r="AI143" s="818"/>
      <c r="AJ143" s="818"/>
      <c r="AK143" s="818"/>
      <c r="AL143" s="818"/>
      <c r="AM143" s="818"/>
      <c r="AN143" s="818"/>
      <c r="AO143" s="818"/>
      <c r="AP143" s="818"/>
      <c r="AQ143" s="818"/>
      <c r="AR143" s="818"/>
      <c r="AS143" s="818"/>
      <c r="AT143" s="818"/>
      <c r="AU143" s="818"/>
      <c r="AV143" s="818"/>
      <c r="AW143" s="818"/>
      <c r="AX143" s="818"/>
      <c r="AY143" s="818"/>
      <c r="AZ143" s="818"/>
      <c r="BA143" s="818"/>
      <c r="BB143" s="818"/>
      <c r="BC143" s="818"/>
      <c r="BD143" s="818"/>
      <c r="BE143" s="818"/>
      <c r="BF143" s="818"/>
      <c r="BG143" s="818"/>
      <c r="BH143" s="818"/>
      <c r="BI143" s="818"/>
      <c r="BJ143" s="818"/>
      <c r="BK143" s="818"/>
      <c r="BL143" s="818"/>
    </row>
    <row r="144" spans="1:64" ht="16.5" hidden="1" customHeight="1">
      <c r="A144" s="1037"/>
      <c r="B144" s="981"/>
      <c r="C144" s="637">
        <f>IF(C143&gt;0,C143,0)</f>
        <v>0</v>
      </c>
      <c r="D144" s="637">
        <f>IF(D143&gt;0,D143,0)</f>
        <v>0</v>
      </c>
      <c r="E144" s="637"/>
      <c r="F144" s="637"/>
      <c r="G144" s="637"/>
      <c r="H144" s="637"/>
      <c r="I144" s="638"/>
      <c r="L144" s="818"/>
      <c r="M144" s="818"/>
      <c r="N144" s="818"/>
      <c r="O144" s="818"/>
      <c r="P144" s="818"/>
      <c r="Q144" s="818"/>
      <c r="R144" s="818"/>
      <c r="S144" s="818"/>
      <c r="T144" s="818"/>
      <c r="U144" s="818"/>
      <c r="V144" s="818"/>
      <c r="W144" s="818"/>
      <c r="X144" s="818"/>
      <c r="Y144" s="818"/>
      <c r="Z144" s="818"/>
      <c r="AA144" s="818"/>
      <c r="AB144" s="818"/>
      <c r="AC144" s="818"/>
      <c r="AD144" s="818"/>
      <c r="AE144" s="818"/>
      <c r="AF144" s="818"/>
      <c r="AG144" s="818"/>
      <c r="AH144" s="818"/>
      <c r="AI144" s="818"/>
      <c r="AJ144" s="818"/>
      <c r="AK144" s="818"/>
      <c r="AL144" s="818"/>
      <c r="AM144" s="818"/>
      <c r="AN144" s="818"/>
      <c r="AO144" s="818"/>
      <c r="AP144" s="818"/>
      <c r="AQ144" s="818"/>
      <c r="AR144" s="818"/>
      <c r="AS144" s="818"/>
      <c r="AT144" s="818"/>
      <c r="AU144" s="818"/>
      <c r="AV144" s="818"/>
      <c r="AW144" s="818"/>
      <c r="AX144" s="818"/>
      <c r="AY144" s="818"/>
      <c r="AZ144" s="818"/>
      <c r="BA144" s="818"/>
      <c r="BB144" s="818"/>
      <c r="BC144" s="818"/>
      <c r="BD144" s="818"/>
      <c r="BE144" s="818"/>
      <c r="BF144" s="818"/>
      <c r="BG144" s="818"/>
      <c r="BH144" s="818"/>
      <c r="BI144" s="818"/>
      <c r="BJ144" s="818"/>
      <c r="BK144" s="818"/>
      <c r="BL144" s="818"/>
    </row>
    <row r="145" spans="1:64">
      <c r="A145" s="1386">
        <f>IF(B145&gt;0,"./. nicht verteilbares Einkommen",0)</f>
        <v>0</v>
      </c>
      <c r="B145" s="1335">
        <f>C145+D145</f>
        <v>0</v>
      </c>
      <c r="C145" s="522">
        <f>IF(AND($B$7&gt;2,D133&gt;0,C133=0,SUM(D131:$I$131)&lt;D141),C141,IF(OR(C10="nur Mehrbedarf",C10="nein"),C141-C146,0))</f>
        <v>0</v>
      </c>
      <c r="D145" s="522">
        <f>IF(AND($B$7&gt;2,C133&gt;0,D133=0,C131+SUM($E$131:$I$131)&lt;C141),D141,IF(OR(D10="nur Mehrbedarf",D10="nein"),D141-D146,0))</f>
        <v>0</v>
      </c>
      <c r="E145" s="522"/>
      <c r="F145" s="522"/>
      <c r="G145" s="522"/>
      <c r="H145" s="522"/>
      <c r="I145" s="523"/>
      <c r="L145" s="818"/>
      <c r="M145" s="818"/>
      <c r="N145" s="818"/>
      <c r="O145" s="818"/>
      <c r="P145" s="818"/>
      <c r="Q145" s="818"/>
      <c r="R145" s="818"/>
      <c r="S145" s="818"/>
      <c r="T145" s="818"/>
      <c r="U145" s="818"/>
      <c r="V145" s="818"/>
      <c r="W145" s="818"/>
      <c r="X145" s="818"/>
      <c r="Y145" s="818"/>
      <c r="Z145" s="818"/>
      <c r="AA145" s="818"/>
      <c r="AB145" s="818"/>
      <c r="AC145" s="818"/>
      <c r="AD145" s="818"/>
      <c r="AE145" s="818"/>
      <c r="AF145" s="818"/>
      <c r="AG145" s="818"/>
      <c r="AH145" s="818"/>
      <c r="AI145" s="818"/>
      <c r="AJ145" s="818"/>
      <c r="AK145" s="818"/>
      <c r="AL145" s="818"/>
      <c r="AM145" s="818"/>
      <c r="AN145" s="818"/>
      <c r="AO145" s="818"/>
      <c r="AP145" s="818"/>
      <c r="AQ145" s="818"/>
      <c r="AR145" s="818"/>
      <c r="AS145" s="818"/>
      <c r="AT145" s="818"/>
      <c r="AU145" s="818"/>
      <c r="AV145" s="818"/>
      <c r="AW145" s="818"/>
      <c r="AX145" s="818"/>
      <c r="AY145" s="818"/>
      <c r="AZ145" s="818"/>
      <c r="BA145" s="818"/>
      <c r="BB145" s="818"/>
      <c r="BC145" s="818"/>
      <c r="BD145" s="818"/>
      <c r="BE145" s="818"/>
      <c r="BF145" s="818"/>
      <c r="BG145" s="818"/>
      <c r="BH145" s="818"/>
      <c r="BI145" s="818"/>
      <c r="BJ145" s="818"/>
      <c r="BK145" s="818"/>
      <c r="BL145" s="818"/>
    </row>
    <row r="146" spans="1:64" ht="17.25" customHeight="1">
      <c r="A146" s="839" t="s">
        <v>2229</v>
      </c>
      <c r="B146" s="1383">
        <f>C146+D146</f>
        <v>0</v>
      </c>
      <c r="C146" s="522">
        <f>IF(AND($B$7&gt;2,D133&gt;0,C133=0,SUM(D131:$I$131)&lt;D141),0,IF(AND(C10="nur Mehrbedarf",C141&lt;C131+C150),0,IF(AND(C10="nur Mehrbedarf",C144&gt;C150),C144-C150,IF(AND(C10="nein",C144&gt;0),C144,IF(AND(C10="nur Mehrbedarf",C144=0),0,IF(AND(C10="nein",C144=0),0,C141))))))</f>
        <v>0</v>
      </c>
      <c r="D146" s="522">
        <f>IF(AND($B$7&gt;2,C133&gt;0,D133=0,C131+SUM($E$131:$I$131)&lt;C141),0,IF(AND(D10="nur Mehrbedarf",D141&lt;D131+D150),0,IF(AND(D10="nur Mehrbedarf",D144&gt;D150),D144-D150,IF(AND(D10="nein",D144&gt;0),D144,IF(AND(D10="nur Mehrbedarf",D144=0),0,IF(AND(D10="nein",D144=0),0,D141))))))</f>
        <v>0</v>
      </c>
      <c r="E146" s="889"/>
      <c r="F146" s="889"/>
      <c r="G146" s="889"/>
      <c r="H146" s="889"/>
      <c r="I146" s="1398"/>
      <c r="L146" s="818"/>
      <c r="M146" s="818"/>
      <c r="N146" s="818"/>
      <c r="O146" s="818"/>
      <c r="P146" s="818"/>
      <c r="Q146" s="818"/>
      <c r="R146" s="818"/>
      <c r="S146" s="818"/>
      <c r="T146" s="818"/>
      <c r="U146" s="818"/>
      <c r="V146" s="818"/>
      <c r="W146" s="818"/>
      <c r="X146" s="818"/>
      <c r="Y146" s="818"/>
      <c r="Z146" s="818"/>
      <c r="AA146" s="818"/>
      <c r="AB146" s="818"/>
      <c r="AC146" s="818"/>
      <c r="AD146" s="818"/>
      <c r="AE146" s="818"/>
      <c r="AF146" s="818"/>
      <c r="AG146" s="818"/>
      <c r="AH146" s="818"/>
      <c r="AI146" s="818"/>
      <c r="AJ146" s="818"/>
      <c r="AK146" s="818"/>
      <c r="AL146" s="818"/>
      <c r="AM146" s="818"/>
      <c r="AN146" s="818"/>
      <c r="AO146" s="818"/>
      <c r="AP146" s="818"/>
      <c r="AQ146" s="818"/>
      <c r="AR146" s="818"/>
      <c r="AS146" s="818"/>
      <c r="AT146" s="818"/>
      <c r="AU146" s="818"/>
      <c r="AV146" s="818"/>
      <c r="AW146" s="818"/>
      <c r="AX146" s="818"/>
      <c r="AY146" s="818"/>
      <c r="AZ146" s="818"/>
      <c r="BA146" s="818"/>
      <c r="BB146" s="818"/>
      <c r="BC146" s="818"/>
      <c r="BD146" s="818"/>
      <c r="BE146" s="818"/>
      <c r="BF146" s="818"/>
      <c r="BG146" s="818"/>
      <c r="BH146" s="818"/>
      <c r="BI146" s="818"/>
      <c r="BJ146" s="818"/>
      <c r="BK146" s="818"/>
      <c r="BL146" s="818"/>
    </row>
    <row r="147" spans="1:64" ht="17.25" hidden="1" customHeight="1">
      <c r="A147" s="1399"/>
      <c r="B147" s="1361">
        <f>SUM(C147:I147)</f>
        <v>0</v>
      </c>
      <c r="C147" s="522">
        <f>IF(AND($B$133=0,D131=0),C146,IF(AND($B$133=0,D146&gt;0,C131&gt;0),D146,IF(AND($B$7&gt;2,C133=0,D133=0,D146+C145&lt;C131),D146,IF(AND($B$7&gt;2,C133=0,D133=0,D146+C145&gt;C131),C131+D131-B145,IF(AND($B$7=2,C133&gt;0,D10="nur Mehrbedarf",D150+D131&gt;D141,C141&gt;C131),C131,$B$146*C133)))))</f>
        <v>0</v>
      </c>
      <c r="D147" s="522">
        <f>IF(AND($B$133=0,C131=0),D146,IF(AND($B$133=0,C146&gt;0,D131&gt;0),C146,IF(AND($B$7&gt;2,D131&gt;0,D133=0,C133=0,C146+D145&lt;D131),C146,IF(AND(B7&gt;2,D131&gt;0,C133=0,D133=0,C146+D145&gt;D131),C131+D131-B145,IF(AND($B$7=2,C10="nur Mehrbedarf",D133&gt;0,C150+C131&gt;C141,D141&gt;D131),D131,$B$146*D133)))))</f>
        <v>0</v>
      </c>
      <c r="E147" s="522">
        <f>IF(AND($C$150&gt;0,$C$146=0,$B$146*E133&gt;E131,$D$146&lt;$D$131+SUM($E$131:$I$131)),E131,IF(AND($D$150&gt;0,$D$146=0,$B$146*E133&gt;E131,$C$146&lt;$C$131+SUM($E$131:$I$131)),E131,IF(AND($B$7&gt;2,$C$133=0,$D$133=0,$C$131+$D$131&gt;$B$141),0,IF(AND($B$7&gt;2,E131&gt;0,$C$133=0,$D$133=0,$C$131+$D$131&lt;$B$141),($B$141-($C$131+$D$131))*E133,$B$146*E133))))</f>
        <v>0</v>
      </c>
      <c r="F147" s="522">
        <f>IF(AND($C$150&gt;0,$C$146=0,$B$146*F133&gt;F131,$D$146&lt;$D$131+SUM($E$131:$I$131)),F131,IF(AND($D$150&gt;0,$D$146=0,$B$146*F133&gt;F131,$C$146&lt;$C$131+SUM($E$131:$I$131)),F131,IF(AND($B$7&gt;2,$C$133=0,$D$133=0,$C$131+$D$131&gt;$B$141),0,IF(AND($B$7&gt;2,F131&gt;0,$C$133=0,$D$133=0,$C$131+$D$131&lt;$B$141),($B$141-($C$131+$D$131))*F133,$B$146*F133))))</f>
        <v>0</v>
      </c>
      <c r="G147" s="522">
        <f>IF(AND($C$150&gt;0,$C$146=0,$B$146*G133&gt;G131,$D$146&lt;$D$131+SUM($E$131:$I$131)),G131,IF(AND($D$150&gt;0,$D$146=0,$B$146*G133&gt;G131,$C$146&lt;$C$131+SUM($E$131:$I$131)),G131,IF(AND($B$7&gt;2,$C$133=0,$D$133=0,$C$131+$D$131&gt;$B$141),0,IF(AND($B$7&gt;2,G131&gt;0,$C$133=0,$D$133=0,$C$131+$D$131&lt;$B$141),($B$141-($C$131+$D$131))*G133,$B$146*G133))))</f>
        <v>0</v>
      </c>
      <c r="H147" s="522">
        <f>IF(AND($C$150&gt;0,$C$146=0,$B$146*H133&gt;H131,$D$146&lt;$D$131+SUM($E$131:$I$131)),H131,IF(AND($D$150&gt;0,$D$146=0,$B$146*H133&gt;H131,$C$146&lt;$C$131+SUM($E$131:$I$131)),H131,IF(AND($B$7&gt;2,$C$133=0,$D$133=0,$C$131+$D$131&gt;$B$141),0,IF(AND($B$7&gt;2,H131&gt;0,$C$133=0,$D$133=0,$C$131+$D$131&lt;$B$141),($B$141-($C$131+$D$131))*H133,$B$146*H133))))</f>
        <v>0</v>
      </c>
      <c r="I147" s="522">
        <f>IF(AND($C$150&gt;0,$C$146=0,$B$146*I133&gt;I131,$D$146&lt;$D$131+SUM($E$131:$I$131)),I131,IF(AND($D$150&gt;0,$D$146=0,$B$146*I133&gt;I131,$C$146&lt;$C$131+SUM($E$131:$I$131)),I131,IF(AND($B$7&gt;2,$C$133=0,$D$133=0,$C$131+$D$131&gt;$B$141),0,IF(AND($B$7&gt;2,I131&gt;0,$C$133=0,$D$133=0,$C$131+$D$131&lt;$B$141),($B$141-($C$131+$D$131))*I133,$B$146*I133))))</f>
        <v>0</v>
      </c>
      <c r="L147" s="818"/>
      <c r="M147" s="818"/>
      <c r="N147" s="818"/>
      <c r="O147" s="818"/>
      <c r="P147" s="818"/>
      <c r="Q147" s="818"/>
      <c r="R147" s="818"/>
      <c r="S147" s="818"/>
      <c r="T147" s="818"/>
      <c r="U147" s="818"/>
      <c r="V147" s="818"/>
      <c r="W147" s="818"/>
      <c r="X147" s="818"/>
      <c r="Y147" s="818"/>
      <c r="Z147" s="818"/>
      <c r="AA147" s="818"/>
      <c r="AB147" s="818"/>
      <c r="AC147" s="818"/>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18"/>
      <c r="AY147" s="818"/>
      <c r="AZ147" s="818"/>
      <c r="BA147" s="818"/>
      <c r="BB147" s="818"/>
      <c r="BC147" s="818"/>
      <c r="BD147" s="818"/>
      <c r="BE147" s="818"/>
      <c r="BF147" s="818"/>
      <c r="BG147" s="818"/>
      <c r="BH147" s="818"/>
      <c r="BI147" s="818"/>
      <c r="BJ147" s="818"/>
      <c r="BK147" s="818"/>
      <c r="BL147" s="818"/>
    </row>
    <row r="148" spans="1:64" ht="18.75" customHeight="1">
      <c r="A148" s="1226" t="s">
        <v>2230</v>
      </c>
      <c r="B148" s="1357">
        <f>SUM(C148:I148)</f>
        <v>0</v>
      </c>
      <c r="C148" s="1400">
        <f>IF(C147&lt;0,0,IF(AND(C150&gt;0,D146&gt;0,D146&lt;&gt;C147,C146&gt;0,C145&lt;C131+C150),C146+C147,IF(AND(D133&gt;0,C133=0,D146&gt;D147+E147+F147+G147+H147+I147),D146-D147-E147-F147-G147-H147-I147,IF(AND($B$7=2,$B$133=0,C146&gt;0,D146&gt;0),C146,IF(AND($B$7&gt;2,C133+D133=0,C146&gt;0,D146&gt;0),($B$146-E147-F147-G147-H147-I147)*C131/(C131+D131),C147)))))</f>
        <v>0</v>
      </c>
      <c r="D148" s="1400">
        <f>IF(D147&lt;0,0,IF(AND(D150&gt;0,C146&gt;0,C146&lt;&gt;D147,D146&gt;0,D145&lt;D131+D150),D146+D147,IF(AND(C133&gt;0,D133=0,C146&gt;C147+E147+F147+G147+H147+I147),C146-C147-E147-F147-G147-H147-I147,IF(AND($B$7=2,$B$133=0,C146&gt;0,D146&gt;0),D146,IF(AND($B$7&gt;2,C133+D133=0,C146&gt;0,D146&gt;0),($B$146-E147-F147-G147-H147-I147)*D131/(C131+D131),D147)))))</f>
        <v>0</v>
      </c>
      <c r="E148" s="1401">
        <f>IF(AND($C$147=0,$D$147=0,$B$147&lt;$B$146),$B$146*E133,E147)</f>
        <v>0</v>
      </c>
      <c r="F148" s="1401">
        <f>IF(AND($C$147=0,$D$147=0,$B$147&lt;$B$146),$B$146*F133,F147)</f>
        <v>0</v>
      </c>
      <c r="G148" s="1401">
        <f>IF(AND($C$147=0,$D$147=0,$B$147&lt;$B$146),$B$146*G133,G147)</f>
        <v>0</v>
      </c>
      <c r="H148" s="1401">
        <f>IF(AND($C$147=0,$D$147=0,$B$147&lt;$B$146),$B$146*H133,H147)</f>
        <v>0</v>
      </c>
      <c r="I148" s="1402">
        <f>IF(AND($C$147=0,$D$147=0,$B$147&lt;$B$146),$B$146*I133,I147)</f>
        <v>0</v>
      </c>
      <c r="L148" s="818"/>
      <c r="M148" s="818"/>
      <c r="N148" s="818"/>
      <c r="O148" s="818"/>
      <c r="P148" s="818"/>
      <c r="Q148" s="818"/>
      <c r="R148" s="818"/>
      <c r="S148" s="818"/>
      <c r="T148" s="818"/>
      <c r="U148" s="818"/>
      <c r="V148" s="818"/>
      <c r="W148" s="818"/>
      <c r="X148" s="818"/>
      <c r="Y148" s="818"/>
      <c r="Z148" s="818"/>
      <c r="AA148" s="818"/>
      <c r="AB148" s="818"/>
      <c r="AC148" s="818"/>
      <c r="AD148" s="818"/>
      <c r="AE148" s="818"/>
      <c r="AF148" s="818"/>
      <c r="AG148" s="818"/>
      <c r="AH148" s="818"/>
      <c r="AI148" s="818"/>
      <c r="AJ148" s="818"/>
      <c r="AK148" s="818"/>
      <c r="AL148" s="818"/>
      <c r="AM148" s="818"/>
      <c r="AN148" s="818"/>
      <c r="AO148" s="818"/>
      <c r="AP148" s="818"/>
      <c r="AQ148" s="818"/>
      <c r="AR148" s="818"/>
      <c r="AS148" s="818"/>
      <c r="AT148" s="818"/>
      <c r="AU148" s="818"/>
      <c r="AV148" s="818"/>
      <c r="AW148" s="818"/>
      <c r="AX148" s="818"/>
      <c r="AY148" s="818"/>
      <c r="AZ148" s="818"/>
      <c r="BA148" s="818"/>
      <c r="BB148" s="818"/>
      <c r="BC148" s="818"/>
      <c r="BD148" s="818"/>
      <c r="BE148" s="818"/>
      <c r="BF148" s="818"/>
      <c r="BG148" s="818"/>
      <c r="BH148" s="818"/>
      <c r="BI148" s="818"/>
      <c r="BJ148" s="818"/>
      <c r="BK148" s="818"/>
      <c r="BL148" s="818"/>
    </row>
    <row r="149" spans="1:64" ht="19.5" customHeight="1">
      <c r="A149" s="1772" t="s">
        <v>2172</v>
      </c>
      <c r="B149" s="1365">
        <f>SUM(C149:I149)</f>
        <v>409</v>
      </c>
      <c r="C149" s="1365">
        <f>C131-C145-C148</f>
        <v>409</v>
      </c>
      <c r="D149" s="1365">
        <f>D131-D145-D148</f>
        <v>0</v>
      </c>
      <c r="E149" s="1365">
        <f>E131-E148</f>
        <v>0</v>
      </c>
      <c r="F149" s="1365">
        <f>F131-F148</f>
        <v>0</v>
      </c>
      <c r="G149" s="1365">
        <f>G131-G148</f>
        <v>0</v>
      </c>
      <c r="H149" s="1365">
        <f>H131-H148</f>
        <v>0</v>
      </c>
      <c r="I149" s="1404">
        <f>I131-I148</f>
        <v>0</v>
      </c>
      <c r="L149" s="818"/>
      <c r="M149" s="818"/>
      <c r="N149" s="818"/>
      <c r="O149" s="818"/>
      <c r="P149" s="818"/>
      <c r="Q149" s="818"/>
      <c r="R149" s="818"/>
      <c r="S149" s="818"/>
      <c r="T149" s="818"/>
      <c r="U149" s="818"/>
      <c r="V149" s="818"/>
      <c r="W149" s="818"/>
      <c r="X149" s="818"/>
      <c r="Y149" s="818"/>
      <c r="Z149" s="818"/>
      <c r="AA149" s="818"/>
      <c r="AB149" s="818"/>
      <c r="AC149" s="818"/>
      <c r="AD149" s="818"/>
      <c r="AE149" s="818"/>
      <c r="AF149" s="818"/>
      <c r="AG149" s="818"/>
      <c r="AH149" s="818"/>
      <c r="AI149" s="818"/>
      <c r="AJ149" s="818"/>
      <c r="AK149" s="818"/>
      <c r="AL149" s="818"/>
      <c r="AM149" s="818"/>
      <c r="AN149" s="818"/>
      <c r="AO149" s="818"/>
      <c r="AP149" s="818"/>
      <c r="AQ149" s="818"/>
      <c r="AR149" s="818"/>
      <c r="AS149" s="818"/>
      <c r="AT149" s="818"/>
      <c r="AU149" s="818"/>
      <c r="AV149" s="818"/>
      <c r="AW149" s="818"/>
      <c r="AX149" s="818"/>
      <c r="AY149" s="818"/>
      <c r="AZ149" s="818"/>
      <c r="BA149" s="818"/>
      <c r="BB149" s="818"/>
      <c r="BC149" s="818"/>
      <c r="BD149" s="818"/>
      <c r="BE149" s="818"/>
      <c r="BF149" s="818"/>
      <c r="BG149" s="818"/>
      <c r="BH149" s="818"/>
      <c r="BI149" s="818"/>
      <c r="BJ149" s="818"/>
      <c r="BK149" s="818"/>
      <c r="BL149" s="818"/>
    </row>
    <row r="150" spans="1:64" ht="18" customHeight="1">
      <c r="A150" s="1773">
        <f>IF(B150&gt;0,"Mehrbedarf nach § 27 (2) SGB II",0)</f>
        <v>0</v>
      </c>
      <c r="B150" s="1406">
        <f>SUM(C150:I150)</f>
        <v>0</v>
      </c>
      <c r="C150" s="1016">
        <f>IF(C10="nur Mehrbedarf",EingabenÄnderungen!C45+EingabenÄnderungen!B46+EingabenÄnderungen!C93+EingabenÄnderungen!C94,0)</f>
        <v>0</v>
      </c>
      <c r="D150" s="1016">
        <f>IF(D10="nur Mehrbedarf",EingabenÄnderungen!D45+EingabenÄnderungen!D93+EingabenÄnderungen!D94,0)</f>
        <v>0</v>
      </c>
      <c r="E150" s="522"/>
      <c r="F150" s="522"/>
      <c r="G150" s="522"/>
      <c r="H150" s="522"/>
      <c r="I150" s="523"/>
    </row>
    <row r="151" spans="1:64" ht="17.25" customHeight="1">
      <c r="A151" s="1339">
        <f>IF(B151&gt;0,"./. Überschuss",0)</f>
        <v>0</v>
      </c>
      <c r="B151" s="1383">
        <f>SUM(C151:I151)</f>
        <v>0</v>
      </c>
      <c r="C151" s="522">
        <f>IF(AND(C10="nur Mehrbedarf",$B$149&lt;0,D149&lt;0),$B$149*-1,IF(AND(C10="nur Mehrbedarf",$B$149&lt;0,$E$149&lt;0),$B$149*-1,IF(AND(C10="nur Mehrbedarf",D149&gt;=0,C149&lt;0),C149*-1,0)))</f>
        <v>0</v>
      </c>
      <c r="D151" s="522">
        <f>IF(AND(D10="nur Mehrbedarf",$B$149&lt;0,C149&lt;0),$B$149*-1,IF(AND(D10="nur Mehrbedarf",$B$149&lt;0,$E$149&lt;0),$B$149*-1,IF(AND(D10="nur Mehrbedarf",C149&gt;=0,D149&lt;0),D149*-1,0)))</f>
        <v>0</v>
      </c>
      <c r="E151" s="522"/>
      <c r="F151" s="522"/>
      <c r="G151" s="522"/>
      <c r="H151" s="522"/>
      <c r="I151" s="523"/>
    </row>
    <row r="152" spans="1:64" ht="17.25" hidden="1" customHeight="1">
      <c r="A152" s="1337"/>
      <c r="B152" s="1409"/>
      <c r="C152" s="1410">
        <f t="shared" ref="C152:I152" si="18">C149-C157</f>
        <v>409</v>
      </c>
      <c r="D152" s="1410">
        <f t="shared" si="18"/>
        <v>0</v>
      </c>
      <c r="E152" s="1410">
        <f t="shared" si="18"/>
        <v>0</v>
      </c>
      <c r="F152" s="1410">
        <f t="shared" si="18"/>
        <v>0</v>
      </c>
      <c r="G152" s="1410">
        <f t="shared" si="18"/>
        <v>0</v>
      </c>
      <c r="H152" s="1410">
        <f t="shared" si="18"/>
        <v>0</v>
      </c>
      <c r="I152" s="1411">
        <f t="shared" si="18"/>
        <v>0</v>
      </c>
    </row>
    <row r="153" spans="1:64" ht="17.25" hidden="1" customHeight="1">
      <c r="A153" s="839"/>
      <c r="B153" s="522"/>
      <c r="C153" s="1410">
        <f>IF(EingabenÄnderungen!C217="einmal",C11*0.1,IF(EingabenÄnderungen!C217="zweimal",C11*0.2,IF(EingabenÄnderungen!C217="dreimal",C11*0.3,0)))</f>
        <v>0</v>
      </c>
      <c r="D153" s="1410">
        <f>IF(EingabenÄnderungen!D217="einmal",D11*0.1,IF(EingabenÄnderungen!D217="zweimal",D11*0.2,IF(EingabenÄnderungen!D217="dreimal",D11*0.3,0)))</f>
        <v>0</v>
      </c>
      <c r="E153" s="1410">
        <f>IF(EingabenÄnderungen!E217="einmal",E11*0.1,IF(EingabenÄnderungen!E217="zweimal",E11*0.2,IF(EingabenÄnderungen!E217="dreimal",E11*0.3,0)))</f>
        <v>0</v>
      </c>
      <c r="F153" s="1410">
        <f>IF(EingabenÄnderungen!F217="einmal",F11*0.1,IF(EingabenÄnderungen!F217="zweimal",F11*0.2,IF(EingabenÄnderungen!F217="dreimal",F11*0.3,0)))</f>
        <v>0</v>
      </c>
      <c r="G153" s="1410">
        <f>IF(EingabenÄnderungen!G217="einmal",G11*0.1,IF(EingabenÄnderungen!G217="zweimal",G11*0.2,IF(EingabenÄnderungen!G217="dreimal",G11*0.3,0)))</f>
        <v>0</v>
      </c>
      <c r="H153" s="1410">
        <f>IF(EingabenÄnderungen!H217="einmal",H11*0.1,IF(EingabenÄnderungen!H217="zweimal",H11*0.2,IF(EingabenÄnderungen!H217="dreimal",H11*0.3,0)))</f>
        <v>0</v>
      </c>
      <c r="I153" s="1411">
        <f>IF(EingabenÄnderungen!I217="einmal",I11*0.1,IF(EingabenÄnderungen!I217="zweimal",I11*0.2,IF(EingabenÄnderungen!I217="dreimal",I11*0.3,0)))</f>
        <v>0</v>
      </c>
    </row>
    <row r="154" spans="1:64" ht="17.25" hidden="1" customHeight="1">
      <c r="A154" s="1337"/>
      <c r="B154" s="522"/>
      <c r="C154" s="522">
        <f t="shared" ref="C154:I154" si="19">IF(C152&gt;C149,C149,C152)</f>
        <v>409</v>
      </c>
      <c r="D154" s="522">
        <f t="shared" si="19"/>
        <v>0</v>
      </c>
      <c r="E154" s="522">
        <f t="shared" si="19"/>
        <v>0</v>
      </c>
      <c r="F154" s="522">
        <f t="shared" si="19"/>
        <v>0</v>
      </c>
      <c r="G154" s="522">
        <f t="shared" si="19"/>
        <v>0</v>
      </c>
      <c r="H154" s="522">
        <f t="shared" si="19"/>
        <v>0</v>
      </c>
      <c r="I154" s="523">
        <f t="shared" si="19"/>
        <v>0</v>
      </c>
    </row>
    <row r="155" spans="1:64" ht="17.25" customHeight="1">
      <c r="A155" s="1339">
        <f>IF(B155&gt;0,"./. Minderung Meldeversäumnis",0)</f>
        <v>0</v>
      </c>
      <c r="B155" s="1335">
        <f>SUM(C155:I155)</f>
        <v>0</v>
      </c>
      <c r="C155" s="522">
        <f t="shared" ref="C155:I155" si="20">IF(OR(C149&lt;0,C153=0),0,MIN(C154,C153))</f>
        <v>0</v>
      </c>
      <c r="D155" s="522">
        <f t="shared" si="20"/>
        <v>0</v>
      </c>
      <c r="E155" s="522">
        <f t="shared" si="20"/>
        <v>0</v>
      </c>
      <c r="F155" s="522">
        <f t="shared" si="20"/>
        <v>0</v>
      </c>
      <c r="G155" s="522">
        <f t="shared" si="20"/>
        <v>0</v>
      </c>
      <c r="H155" s="522">
        <f t="shared" si="20"/>
        <v>0</v>
      </c>
      <c r="I155" s="523">
        <f t="shared" si="20"/>
        <v>0</v>
      </c>
    </row>
    <row r="156" spans="1:64" ht="17.25" hidden="1" customHeight="1">
      <c r="A156" s="1341"/>
      <c r="B156" s="1412"/>
      <c r="C156" s="634">
        <f>EingabenÄnderungen!C221</f>
        <v>0</v>
      </c>
      <c r="D156" s="634">
        <f>EingabenÄnderungen!D221</f>
        <v>0</v>
      </c>
      <c r="E156" s="634">
        <f>EingabenÄnderungen!E221</f>
        <v>0</v>
      </c>
      <c r="F156" s="634">
        <f>EingabenÄnderungen!F221</f>
        <v>0</v>
      </c>
      <c r="G156" s="634">
        <f>EingabenÄnderungen!G221</f>
        <v>0</v>
      </c>
      <c r="H156" s="634">
        <f>EingabenÄnderungen!H221</f>
        <v>0</v>
      </c>
      <c r="I156" s="635">
        <f>EingabenÄnderungen!I221</f>
        <v>0</v>
      </c>
    </row>
    <row r="157" spans="1:64" ht="17.25" hidden="1" customHeight="1">
      <c r="A157" s="976"/>
      <c r="B157" s="1413"/>
      <c r="C157" s="1410">
        <f t="shared" ref="C157:I157" si="21">IF(C156&gt;C149,C149,C156)</f>
        <v>0</v>
      </c>
      <c r="D157" s="1410">
        <f t="shared" si="21"/>
        <v>0</v>
      </c>
      <c r="E157" s="1410">
        <f t="shared" si="21"/>
        <v>0</v>
      </c>
      <c r="F157" s="1410">
        <f t="shared" si="21"/>
        <v>0</v>
      </c>
      <c r="G157" s="1410">
        <f t="shared" si="21"/>
        <v>0</v>
      </c>
      <c r="H157" s="1410">
        <f t="shared" si="21"/>
        <v>0</v>
      </c>
      <c r="I157" s="1411">
        <f t="shared" si="21"/>
        <v>0</v>
      </c>
    </row>
    <row r="158" spans="1:64" ht="18" customHeight="1">
      <c r="A158" s="1606">
        <f>IF(B158&gt;0,"./. Minderung Pflichtverletzung",0)</f>
        <v>0</v>
      </c>
      <c r="B158" s="1415">
        <f>SUM(C158:I158)</f>
        <v>0</v>
      </c>
      <c r="C158" s="1416">
        <f t="shared" ref="C158:I158" si="22">IF(C157&lt;0,0,C157)</f>
        <v>0</v>
      </c>
      <c r="D158" s="1024">
        <f t="shared" si="22"/>
        <v>0</v>
      </c>
      <c r="E158" s="1024">
        <f t="shared" si="22"/>
        <v>0</v>
      </c>
      <c r="F158" s="1024">
        <f t="shared" si="22"/>
        <v>0</v>
      </c>
      <c r="G158" s="1024">
        <f t="shared" si="22"/>
        <v>0</v>
      </c>
      <c r="H158" s="1024">
        <f t="shared" si="22"/>
        <v>0</v>
      </c>
      <c r="I158" s="1025">
        <f t="shared" si="22"/>
        <v>0</v>
      </c>
    </row>
    <row r="159" spans="1:64" ht="16.5" hidden="1" customHeight="1">
      <c r="A159" s="1417"/>
      <c r="B159" s="1418"/>
      <c r="C159" s="1419">
        <f>IF(C10="nur Mehrbedarf",C150-C151,0)</f>
        <v>0</v>
      </c>
      <c r="D159" s="1419">
        <f>IF(D10="nur Mehrbedarf",D150-D151,0)</f>
        <v>0</v>
      </c>
      <c r="E159" s="1419"/>
      <c r="F159" s="1419"/>
      <c r="G159" s="1419"/>
      <c r="H159" s="1419"/>
      <c r="I159" s="1420"/>
      <c r="K159" s="952"/>
      <c r="L159" s="952"/>
    </row>
    <row r="160" spans="1:64" ht="17.25" hidden="1" customHeight="1">
      <c r="A160" s="1421"/>
      <c r="B160" s="1413">
        <f>SUM(C160:I160)</f>
        <v>409</v>
      </c>
      <c r="C160" s="1413">
        <f t="shared" ref="C160:I160" si="23">IF(C10="nur Mehrbedarf",C159,C149-C155-C158)</f>
        <v>409</v>
      </c>
      <c r="D160" s="1413">
        <f t="shared" si="23"/>
        <v>0</v>
      </c>
      <c r="E160" s="1413">
        <f t="shared" si="23"/>
        <v>0</v>
      </c>
      <c r="F160" s="1413">
        <f t="shared" si="23"/>
        <v>0</v>
      </c>
      <c r="G160" s="1413">
        <f t="shared" si="23"/>
        <v>0</v>
      </c>
      <c r="H160" s="1413">
        <f t="shared" si="23"/>
        <v>0</v>
      </c>
      <c r="I160" s="1413">
        <f t="shared" si="23"/>
        <v>0</v>
      </c>
    </row>
    <row r="161" spans="1:9" ht="25.5" customHeight="1">
      <c r="A161" s="1774" t="s">
        <v>2173</v>
      </c>
      <c r="B161" s="1775">
        <f>SUM(C161:I161)</f>
        <v>409</v>
      </c>
      <c r="C161" s="1775">
        <f t="shared" ref="C161:I161" si="24">IF(C10="nein",0,IF(C160&lt;0,0,C160))</f>
        <v>409</v>
      </c>
      <c r="D161" s="1775">
        <f t="shared" si="24"/>
        <v>0</v>
      </c>
      <c r="E161" s="1775">
        <f t="shared" si="24"/>
        <v>0</v>
      </c>
      <c r="F161" s="1775">
        <f t="shared" si="24"/>
        <v>0</v>
      </c>
      <c r="G161" s="1775">
        <f t="shared" si="24"/>
        <v>0</v>
      </c>
      <c r="H161" s="1775">
        <f t="shared" si="24"/>
        <v>0</v>
      </c>
      <c r="I161" s="1776">
        <f t="shared" si="24"/>
        <v>0</v>
      </c>
    </row>
    <row r="162" spans="1:9" ht="24.75" customHeight="1">
      <c r="A162" s="1777" t="s">
        <v>2368</v>
      </c>
      <c r="B162" s="1778">
        <f>Berechnung!B161</f>
        <v>449</v>
      </c>
      <c r="C162" s="1778">
        <f>Berechnung!C161</f>
        <v>449</v>
      </c>
      <c r="D162" s="1778">
        <f>Berechnung!D161</f>
        <v>0</v>
      </c>
      <c r="E162" s="1778">
        <f>Berechnung!E161</f>
        <v>0</v>
      </c>
      <c r="F162" s="1778">
        <f>Berechnung!F161</f>
        <v>0</v>
      </c>
      <c r="G162" s="1778">
        <f>Berechnung!G161</f>
        <v>0</v>
      </c>
      <c r="H162" s="1778">
        <f>Berechnung!H161</f>
        <v>0</v>
      </c>
      <c r="I162" s="1779">
        <f>Berechnung!I161</f>
        <v>0</v>
      </c>
    </row>
    <row r="163" spans="1:9" ht="24.75" customHeight="1">
      <c r="A163" s="1780" t="s">
        <v>2369</v>
      </c>
      <c r="B163" s="1781">
        <f t="shared" ref="B163:I163" si="25">B161-B162</f>
        <v>-40</v>
      </c>
      <c r="C163" s="1781">
        <f t="shared" si="25"/>
        <v>-40</v>
      </c>
      <c r="D163" s="1781">
        <f t="shared" si="25"/>
        <v>0</v>
      </c>
      <c r="E163" s="1781">
        <f t="shared" si="25"/>
        <v>0</v>
      </c>
      <c r="F163" s="1781">
        <f t="shared" si="25"/>
        <v>0</v>
      </c>
      <c r="G163" s="1781">
        <f t="shared" si="25"/>
        <v>0</v>
      </c>
      <c r="H163" s="1781">
        <f t="shared" si="25"/>
        <v>0</v>
      </c>
      <c r="I163" s="1782">
        <f t="shared" si="25"/>
        <v>0</v>
      </c>
    </row>
    <row r="164" spans="1:9" ht="20.25">
      <c r="A164" s="1217"/>
      <c r="B164" s="1218"/>
      <c r="C164" s="1219"/>
      <c r="D164" s="1219"/>
      <c r="E164" s="1219"/>
      <c r="F164" s="1219"/>
      <c r="G164" s="1219"/>
      <c r="H164" s="1219"/>
      <c r="I164" s="1219"/>
    </row>
    <row r="165" spans="1:9" ht="18.75" customHeight="1">
      <c r="A165" s="818"/>
      <c r="B165" s="1265"/>
      <c r="C165" s="818"/>
      <c r="D165" s="818"/>
      <c r="E165" s="818"/>
      <c r="F165" s="818"/>
      <c r="G165" s="818"/>
      <c r="H165" s="818"/>
      <c r="I165" s="818"/>
    </row>
    <row r="166" spans="1:9" ht="18.75" customHeight="1">
      <c r="A166" s="818"/>
      <c r="B166" s="1265"/>
      <c r="C166" s="818"/>
      <c r="D166" s="818"/>
      <c r="E166" s="818"/>
      <c r="F166" s="818"/>
      <c r="G166" s="818"/>
      <c r="H166" s="818"/>
      <c r="I166" s="818"/>
    </row>
    <row r="167" spans="1:9" ht="18.75" customHeight="1">
      <c r="A167" s="1783" t="s">
        <v>2370</v>
      </c>
      <c r="B167" s="1648"/>
      <c r="C167" s="1784"/>
      <c r="D167" s="1784"/>
      <c r="E167" s="1784"/>
      <c r="F167" s="1784"/>
      <c r="G167" s="1784"/>
      <c r="H167" s="1784"/>
      <c r="I167" s="1785"/>
    </row>
    <row r="168" spans="1:9" ht="18.75" customHeight="1">
      <c r="A168" s="839"/>
      <c r="B168" s="1322" t="s">
        <v>246</v>
      </c>
      <c r="C168" s="1322" t="str">
        <f>Zusatzeingaben!C4</f>
        <v>Antragsteller</v>
      </c>
      <c r="D168" s="1322" t="str">
        <f>Zusatzeingaben!D4</f>
        <v>Partner(in)</v>
      </c>
      <c r="E168" s="1322" t="str">
        <f>Zusatzeingaben!E4</f>
        <v>Kind 1</v>
      </c>
      <c r="F168" s="1322" t="str">
        <f>Zusatzeingaben!F4</f>
        <v>Kind 2</v>
      </c>
      <c r="G168" s="1322" t="str">
        <f>Zusatzeingaben!G4</f>
        <v>Kind 3</v>
      </c>
      <c r="H168" s="1322" t="str">
        <f>Zusatzeingaben!H4</f>
        <v>Kind 4</v>
      </c>
      <c r="I168" s="1323" t="str">
        <f>Zusatzeingaben!I4</f>
        <v>Kind 5</v>
      </c>
    </row>
    <row r="169" spans="1:9" ht="18.75" hidden="1" customHeight="1">
      <c r="A169" s="839"/>
      <c r="B169" s="1222"/>
      <c r="C169" s="1223">
        <f t="shared" ref="C169:I169" si="26">IF(C10="ja",C11+C13+C14+C15+C16+C17+C18+C19,0)</f>
        <v>409</v>
      </c>
      <c r="D169" s="1223">
        <f t="shared" si="26"/>
        <v>0</v>
      </c>
      <c r="E169" s="1223">
        <f t="shared" si="26"/>
        <v>0</v>
      </c>
      <c r="F169" s="1223">
        <f t="shared" si="26"/>
        <v>0</v>
      </c>
      <c r="G169" s="1223">
        <f t="shared" si="26"/>
        <v>0</v>
      </c>
      <c r="H169" s="1223">
        <f t="shared" si="26"/>
        <v>0</v>
      </c>
      <c r="I169" s="1224">
        <f t="shared" si="26"/>
        <v>0</v>
      </c>
    </row>
    <row r="170" spans="1:9" ht="18.75" customHeight="1">
      <c r="A170" s="839" t="s">
        <v>2175</v>
      </c>
      <c r="B170" s="1335">
        <f>SUM(C170:I170)</f>
        <v>409</v>
      </c>
      <c r="C170" s="1016">
        <f t="shared" ref="C170:I170" si="27">IF(C10="ja",C11+C13+C14+C15+C16+C17+C18+C19+C49,IF(C10="nur Mehrbedarf",C161,0))</f>
        <v>409</v>
      </c>
      <c r="D170" s="1016">
        <f t="shared" si="27"/>
        <v>0</v>
      </c>
      <c r="E170" s="1016">
        <f t="shared" si="27"/>
        <v>0</v>
      </c>
      <c r="F170" s="1016">
        <f t="shared" si="27"/>
        <v>0</v>
      </c>
      <c r="G170" s="1016">
        <f t="shared" si="27"/>
        <v>0</v>
      </c>
      <c r="H170" s="1016">
        <f t="shared" si="27"/>
        <v>0</v>
      </c>
      <c r="I170" s="1017">
        <f t="shared" si="27"/>
        <v>0</v>
      </c>
    </row>
    <row r="171" spans="1:9" ht="18.75" customHeight="1">
      <c r="A171" s="1225" t="s">
        <v>2176</v>
      </c>
      <c r="B171" s="1335">
        <f>SUM(C171:I171)</f>
        <v>0</v>
      </c>
      <c r="C171" s="1016">
        <f t="shared" ref="C171:I171" si="28">C155+C158</f>
        <v>0</v>
      </c>
      <c r="D171" s="1016">
        <f t="shared" si="28"/>
        <v>0</v>
      </c>
      <c r="E171" s="1016">
        <f t="shared" si="28"/>
        <v>0</v>
      </c>
      <c r="F171" s="1016">
        <f t="shared" si="28"/>
        <v>0</v>
      </c>
      <c r="G171" s="1016">
        <f t="shared" si="28"/>
        <v>0</v>
      </c>
      <c r="H171" s="1016">
        <f t="shared" si="28"/>
        <v>0</v>
      </c>
      <c r="I171" s="1017">
        <f t="shared" si="28"/>
        <v>0</v>
      </c>
    </row>
    <row r="172" spans="1:9" ht="18.75" customHeight="1">
      <c r="A172" s="1226" t="s">
        <v>2177</v>
      </c>
      <c r="B172" s="1357">
        <f>SUM(C172:I172)</f>
        <v>0</v>
      </c>
      <c r="C172" s="1227">
        <f>IF(C170=0,0,C148)</f>
        <v>0</v>
      </c>
      <c r="D172" s="1227">
        <f>IF(D170=0,0,D148)</f>
        <v>0</v>
      </c>
      <c r="E172" s="1227">
        <f>IF(E170=0,0,E128+E148)</f>
        <v>0</v>
      </c>
      <c r="F172" s="1227">
        <f>IF(F170=0,0,F128+F148)</f>
        <v>0</v>
      </c>
      <c r="G172" s="1227">
        <f>IF(G170=0,0,G128+G148)</f>
        <v>0</v>
      </c>
      <c r="H172" s="1227">
        <f>IF(H170=0,0,H128+H148)</f>
        <v>0</v>
      </c>
      <c r="I172" s="1228">
        <f>IF(I170=0,0,I128+I148)</f>
        <v>0</v>
      </c>
    </row>
    <row r="173" spans="1:9" ht="18.75" hidden="1" customHeight="1">
      <c r="A173" s="833"/>
      <c r="B173" s="637"/>
      <c r="C173" s="1229">
        <f t="shared" ref="C173:I173" si="29">IF(C169=0,0,C148)</f>
        <v>0</v>
      </c>
      <c r="D173" s="1229">
        <f t="shared" si="29"/>
        <v>0</v>
      </c>
      <c r="E173" s="1229">
        <f t="shared" si="29"/>
        <v>0</v>
      </c>
      <c r="F173" s="1229">
        <f t="shared" si="29"/>
        <v>0</v>
      </c>
      <c r="G173" s="1229">
        <f t="shared" si="29"/>
        <v>0</v>
      </c>
      <c r="H173" s="1229">
        <f t="shared" si="29"/>
        <v>0</v>
      </c>
      <c r="I173" s="1230">
        <f t="shared" si="29"/>
        <v>0</v>
      </c>
    </row>
    <row r="174" spans="1:9" ht="18.75" hidden="1" customHeight="1">
      <c r="A174" s="833"/>
      <c r="B174" s="637"/>
      <c r="C174" s="637">
        <f t="shared" ref="C174:I174" si="30">C170-C171-C172</f>
        <v>409</v>
      </c>
      <c r="D174" s="637">
        <f t="shared" si="30"/>
        <v>0</v>
      </c>
      <c r="E174" s="637">
        <f t="shared" si="30"/>
        <v>0</v>
      </c>
      <c r="F174" s="637">
        <f t="shared" si="30"/>
        <v>0</v>
      </c>
      <c r="G174" s="637">
        <f t="shared" si="30"/>
        <v>0</v>
      </c>
      <c r="H174" s="637">
        <f t="shared" si="30"/>
        <v>0</v>
      </c>
      <c r="I174" s="638">
        <f t="shared" si="30"/>
        <v>0</v>
      </c>
    </row>
    <row r="175" spans="1:9" ht="18.75" hidden="1" customHeight="1">
      <c r="A175" s="833"/>
      <c r="B175" s="637"/>
      <c r="C175" s="1231">
        <f t="shared" ref="C175:I175" si="31">C169-C173</f>
        <v>409</v>
      </c>
      <c r="D175" s="1231">
        <f t="shared" si="31"/>
        <v>0</v>
      </c>
      <c r="E175" s="1231">
        <f t="shared" si="31"/>
        <v>0</v>
      </c>
      <c r="F175" s="1231">
        <f t="shared" si="31"/>
        <v>0</v>
      </c>
      <c r="G175" s="1231">
        <f t="shared" si="31"/>
        <v>0</v>
      </c>
      <c r="H175" s="1231">
        <f t="shared" si="31"/>
        <v>0</v>
      </c>
      <c r="I175" s="1232">
        <f t="shared" si="31"/>
        <v>0</v>
      </c>
    </row>
    <row r="176" spans="1:9" ht="18.75" customHeight="1">
      <c r="A176" s="1233" t="s">
        <v>2178</v>
      </c>
      <c r="B176" s="1234">
        <f>SUM(C176:I176)</f>
        <v>409</v>
      </c>
      <c r="C176" s="1234">
        <f t="shared" ref="C176:I177" si="32">IF(C174&lt;0,0,C174)</f>
        <v>409</v>
      </c>
      <c r="D176" s="1234">
        <f t="shared" si="32"/>
        <v>0</v>
      </c>
      <c r="E176" s="1234">
        <f t="shared" si="32"/>
        <v>0</v>
      </c>
      <c r="F176" s="1234">
        <f t="shared" si="32"/>
        <v>0</v>
      </c>
      <c r="G176" s="1234">
        <f t="shared" si="32"/>
        <v>0</v>
      </c>
      <c r="H176" s="1234">
        <f t="shared" si="32"/>
        <v>0</v>
      </c>
      <c r="I176" s="1235">
        <f t="shared" si="32"/>
        <v>0</v>
      </c>
    </row>
    <row r="177" spans="1:9" ht="18.75" hidden="1" customHeight="1">
      <c r="A177" s="1236"/>
      <c r="B177" s="1221"/>
      <c r="C177" s="1237">
        <f t="shared" si="32"/>
        <v>409</v>
      </c>
      <c r="D177" s="1237">
        <f t="shared" si="32"/>
        <v>0</v>
      </c>
      <c r="E177" s="1237">
        <f t="shared" si="32"/>
        <v>0</v>
      </c>
      <c r="F177" s="1237">
        <f t="shared" si="32"/>
        <v>0</v>
      </c>
      <c r="G177" s="1237">
        <f t="shared" si="32"/>
        <v>0</v>
      </c>
      <c r="H177" s="1237">
        <f t="shared" si="32"/>
        <v>0</v>
      </c>
      <c r="I177" s="1238">
        <f t="shared" si="32"/>
        <v>0</v>
      </c>
    </row>
    <row r="178" spans="1:9" ht="18.75" customHeight="1">
      <c r="A178" s="1239" t="s">
        <v>2179</v>
      </c>
      <c r="B178" s="1548"/>
      <c r="C178" s="1241">
        <f t="shared" ref="C178:I179" si="33">IF(C174&lt;0,C174,0)*-1</f>
        <v>0</v>
      </c>
      <c r="D178" s="1241">
        <f t="shared" si="33"/>
        <v>0</v>
      </c>
      <c r="E178" s="1241">
        <f t="shared" si="33"/>
        <v>0</v>
      </c>
      <c r="F178" s="1241">
        <f t="shared" si="33"/>
        <v>0</v>
      </c>
      <c r="G178" s="1241">
        <f t="shared" si="33"/>
        <v>0</v>
      </c>
      <c r="H178" s="1241">
        <f t="shared" si="33"/>
        <v>0</v>
      </c>
      <c r="I178" s="1242">
        <f t="shared" si="33"/>
        <v>0</v>
      </c>
    </row>
    <row r="179" spans="1:9" ht="18.75" hidden="1" customHeight="1">
      <c r="A179" s="833"/>
      <c r="B179" s="1249"/>
      <c r="C179" s="1244">
        <f t="shared" si="33"/>
        <v>0</v>
      </c>
      <c r="D179" s="1244">
        <f t="shared" si="33"/>
        <v>0</v>
      </c>
      <c r="E179" s="1244">
        <f t="shared" si="33"/>
        <v>0</v>
      </c>
      <c r="F179" s="1244">
        <f t="shared" si="33"/>
        <v>0</v>
      </c>
      <c r="G179" s="1244">
        <f t="shared" si="33"/>
        <v>0</v>
      </c>
      <c r="H179" s="1244">
        <f t="shared" si="33"/>
        <v>0</v>
      </c>
      <c r="I179" s="1245">
        <f t="shared" si="33"/>
        <v>0</v>
      </c>
    </row>
    <row r="180" spans="1:9" ht="18.75" customHeight="1">
      <c r="A180" s="1246" t="s">
        <v>2180</v>
      </c>
      <c r="B180" s="1365">
        <f>SUM(C180:I180)</f>
        <v>0</v>
      </c>
      <c r="C180" s="1008">
        <f t="shared" ref="C180:I180" si="34">IF(C10="ja",C47,0)</f>
        <v>0</v>
      </c>
      <c r="D180" s="1008">
        <f t="shared" si="34"/>
        <v>0</v>
      </c>
      <c r="E180" s="1008">
        <f t="shared" si="34"/>
        <v>0</v>
      </c>
      <c r="F180" s="1008">
        <f t="shared" si="34"/>
        <v>0</v>
      </c>
      <c r="G180" s="1008">
        <f t="shared" si="34"/>
        <v>0</v>
      </c>
      <c r="H180" s="1008">
        <f t="shared" si="34"/>
        <v>0</v>
      </c>
      <c r="I180" s="1009">
        <f t="shared" si="34"/>
        <v>0</v>
      </c>
    </row>
    <row r="181" spans="1:9" ht="18.75" customHeight="1">
      <c r="A181" s="1226" t="s">
        <v>2181</v>
      </c>
      <c r="B181" s="1549">
        <f>SUM(C181:I181)</f>
        <v>0</v>
      </c>
      <c r="C181" s="1227">
        <f t="shared" ref="C181:I181" si="35">IF(C180&lt;C178,C180,C178)</f>
        <v>0</v>
      </c>
      <c r="D181" s="1227">
        <f t="shared" si="35"/>
        <v>0</v>
      </c>
      <c r="E181" s="1227">
        <f t="shared" si="35"/>
        <v>0</v>
      </c>
      <c r="F181" s="1227">
        <f t="shared" si="35"/>
        <v>0</v>
      </c>
      <c r="G181" s="1227">
        <f t="shared" si="35"/>
        <v>0</v>
      </c>
      <c r="H181" s="1227">
        <f t="shared" si="35"/>
        <v>0</v>
      </c>
      <c r="I181" s="1228">
        <f t="shared" si="35"/>
        <v>0</v>
      </c>
    </row>
    <row r="182" spans="1:9" ht="18.75" hidden="1" customHeight="1">
      <c r="A182" s="1248"/>
      <c r="B182" s="1249"/>
      <c r="C182" s="1250">
        <f t="shared" ref="C182:I182" si="36">IF(C180&lt;C179,C180,C179)</f>
        <v>0</v>
      </c>
      <c r="D182" s="1250">
        <f t="shared" si="36"/>
        <v>0</v>
      </c>
      <c r="E182" s="1250">
        <f t="shared" si="36"/>
        <v>0</v>
      </c>
      <c r="F182" s="1250">
        <f t="shared" si="36"/>
        <v>0</v>
      </c>
      <c r="G182" s="1250">
        <f t="shared" si="36"/>
        <v>0</v>
      </c>
      <c r="H182" s="1250">
        <f t="shared" si="36"/>
        <v>0</v>
      </c>
      <c r="I182" s="1251">
        <f t="shared" si="36"/>
        <v>0</v>
      </c>
    </row>
    <row r="183" spans="1:9" ht="18.75" hidden="1" customHeight="1">
      <c r="A183" s="1248"/>
      <c r="B183" s="1249"/>
      <c r="C183" s="1252">
        <f t="shared" ref="C183:I183" si="37">C180-C182</f>
        <v>0</v>
      </c>
      <c r="D183" s="1252">
        <f t="shared" si="37"/>
        <v>0</v>
      </c>
      <c r="E183" s="1252">
        <f t="shared" si="37"/>
        <v>0</v>
      </c>
      <c r="F183" s="1252">
        <f t="shared" si="37"/>
        <v>0</v>
      </c>
      <c r="G183" s="1252">
        <f t="shared" si="37"/>
        <v>0</v>
      </c>
      <c r="H183" s="1252">
        <f t="shared" si="37"/>
        <v>0</v>
      </c>
      <c r="I183" s="1253">
        <f t="shared" si="37"/>
        <v>0</v>
      </c>
    </row>
    <row r="184" spans="1:9" ht="18.75" customHeight="1">
      <c r="A184" s="1254" t="s">
        <v>2182</v>
      </c>
      <c r="B184" s="1255">
        <f>SUM(C184:I184)</f>
        <v>0</v>
      </c>
      <c r="C184" s="1256">
        <f t="shared" ref="C184:I184" si="38">IF(C181&lt;0,C180,C180-C181)</f>
        <v>0</v>
      </c>
      <c r="D184" s="1256">
        <f t="shared" si="38"/>
        <v>0</v>
      </c>
      <c r="E184" s="1256">
        <f t="shared" si="38"/>
        <v>0</v>
      </c>
      <c r="F184" s="1256">
        <f t="shared" si="38"/>
        <v>0</v>
      </c>
      <c r="G184" s="1256">
        <f t="shared" si="38"/>
        <v>0</v>
      </c>
      <c r="H184" s="1256">
        <f t="shared" si="38"/>
        <v>0</v>
      </c>
      <c r="I184" s="1257">
        <f t="shared" si="38"/>
        <v>0</v>
      </c>
    </row>
    <row r="185" spans="1:9" ht="24.75" customHeight="1">
      <c r="A185" s="1786"/>
      <c r="B185" s="406"/>
      <c r="C185" s="406"/>
      <c r="D185" s="406"/>
      <c r="E185" s="406"/>
      <c r="F185" s="406"/>
      <c r="G185" s="406"/>
      <c r="H185" s="406"/>
      <c r="I185" s="406"/>
    </row>
    <row r="186" spans="1:9" ht="27" customHeight="1">
      <c r="A186" s="1786"/>
      <c r="B186" s="406"/>
      <c r="C186" s="406"/>
      <c r="D186" s="406"/>
      <c r="E186" s="406"/>
      <c r="F186" s="406"/>
      <c r="G186" s="406"/>
      <c r="H186" s="406"/>
      <c r="I186" s="406"/>
    </row>
    <row r="187" spans="1:9" ht="18.75" customHeight="1">
      <c r="A187" s="1787" t="s">
        <v>2371</v>
      </c>
      <c r="B187" s="1788"/>
      <c r="C187" s="1788"/>
      <c r="D187" s="1788"/>
      <c r="E187" s="1788"/>
      <c r="F187" s="1788"/>
      <c r="G187" s="1788"/>
      <c r="H187" s="1788"/>
      <c r="I187" s="1789"/>
    </row>
    <row r="188" spans="1:9" ht="18.75" customHeight="1">
      <c r="A188" s="1790"/>
      <c r="B188" s="1791" t="s">
        <v>246</v>
      </c>
      <c r="C188" s="1792" t="str">
        <f>Zusatzeingaben!C4</f>
        <v>Antragsteller</v>
      </c>
      <c r="D188" s="1792" t="str">
        <f>Zusatzeingaben!D4</f>
        <v>Partner(in)</v>
      </c>
      <c r="E188" s="1792" t="str">
        <f>Zusatzeingaben!E4</f>
        <v>Kind 1</v>
      </c>
      <c r="F188" s="1792" t="str">
        <f>Zusatzeingaben!F4</f>
        <v>Kind 2</v>
      </c>
      <c r="G188" s="1792" t="str">
        <f>Zusatzeingaben!G4</f>
        <v>Kind 3</v>
      </c>
      <c r="H188" s="1792" t="str">
        <f>Zusatzeingaben!H4</f>
        <v>Kind 4</v>
      </c>
      <c r="I188" s="1793" t="str">
        <f>Zusatzeingaben!I4</f>
        <v>Kind 5</v>
      </c>
    </row>
    <row r="189" spans="1:9" ht="18.75" customHeight="1">
      <c r="A189" s="102" t="s">
        <v>2372</v>
      </c>
      <c r="B189" s="1794">
        <f>Berechnung!B175</f>
        <v>449</v>
      </c>
      <c r="C189" s="407">
        <f>Berechnung!C175</f>
        <v>449</v>
      </c>
      <c r="D189" s="407">
        <f>Berechnung!D175</f>
        <v>0</v>
      </c>
      <c r="E189" s="407">
        <f>Berechnung!E175</f>
        <v>0</v>
      </c>
      <c r="F189" s="407">
        <f>Berechnung!F175</f>
        <v>0</v>
      </c>
      <c r="G189" s="407">
        <f>Berechnung!G175</f>
        <v>0</v>
      </c>
      <c r="H189" s="407">
        <f>Berechnung!H175</f>
        <v>0</v>
      </c>
      <c r="I189" s="1565">
        <f>Berechnung!I175</f>
        <v>0</v>
      </c>
    </row>
    <row r="190" spans="1:9" ht="18.75" customHeight="1">
      <c r="A190" s="1566" t="s">
        <v>2373</v>
      </c>
      <c r="B190" s="1795">
        <f t="shared" ref="B190:I190" si="39">B176</f>
        <v>409</v>
      </c>
      <c r="C190" s="1568">
        <f t="shared" si="39"/>
        <v>409</v>
      </c>
      <c r="D190" s="1568">
        <f t="shared" si="39"/>
        <v>0</v>
      </c>
      <c r="E190" s="1568">
        <f t="shared" si="39"/>
        <v>0</v>
      </c>
      <c r="F190" s="1568">
        <f t="shared" si="39"/>
        <v>0</v>
      </c>
      <c r="G190" s="1568">
        <f t="shared" si="39"/>
        <v>0</v>
      </c>
      <c r="H190" s="1568">
        <f t="shared" si="39"/>
        <v>0</v>
      </c>
      <c r="I190" s="1569">
        <f t="shared" si="39"/>
        <v>0</v>
      </c>
    </row>
    <row r="191" spans="1:9" ht="18.75" hidden="1" customHeight="1">
      <c r="A191" s="405"/>
      <c r="B191" s="1796">
        <f t="shared" ref="B191:I191" si="40">B189-B190</f>
        <v>40</v>
      </c>
      <c r="C191" s="1796">
        <f t="shared" si="40"/>
        <v>40</v>
      </c>
      <c r="D191" s="1796">
        <f t="shared" si="40"/>
        <v>0</v>
      </c>
      <c r="E191" s="1796">
        <f t="shared" si="40"/>
        <v>0</v>
      </c>
      <c r="F191" s="1796">
        <f t="shared" si="40"/>
        <v>0</v>
      </c>
      <c r="G191" s="1796">
        <f t="shared" si="40"/>
        <v>0</v>
      </c>
      <c r="H191" s="1796">
        <f t="shared" si="40"/>
        <v>0</v>
      </c>
      <c r="I191" s="1797">
        <f t="shared" si="40"/>
        <v>0</v>
      </c>
    </row>
    <row r="192" spans="1:9" ht="18.75" hidden="1" customHeight="1">
      <c r="A192" s="405"/>
      <c r="B192" s="1798">
        <f>IF(B191&lt;B164,B164,B191)</f>
        <v>40</v>
      </c>
      <c r="C192" s="1798">
        <f t="shared" ref="C192:I192" si="41">IF(C191&lt;C163,C163,C191)</f>
        <v>40</v>
      </c>
      <c r="D192" s="1798">
        <f t="shared" si="41"/>
        <v>0</v>
      </c>
      <c r="E192" s="1798">
        <f t="shared" si="41"/>
        <v>0</v>
      </c>
      <c r="F192" s="1798">
        <f t="shared" si="41"/>
        <v>0</v>
      </c>
      <c r="G192" s="1798">
        <f t="shared" si="41"/>
        <v>0</v>
      </c>
      <c r="H192" s="1798">
        <f t="shared" si="41"/>
        <v>0</v>
      </c>
      <c r="I192" s="1799">
        <f t="shared" si="41"/>
        <v>0</v>
      </c>
    </row>
    <row r="193" spans="1:9" ht="18.75" hidden="1" customHeight="1">
      <c r="A193" s="405"/>
      <c r="B193" s="1798"/>
      <c r="C193" s="445">
        <f t="shared" ref="C193:I193" si="42">IF(C163&gt;0,C191,C192)</f>
        <v>40</v>
      </c>
      <c r="D193" s="445">
        <f t="shared" si="42"/>
        <v>0</v>
      </c>
      <c r="E193" s="445">
        <f t="shared" si="42"/>
        <v>0</v>
      </c>
      <c r="F193" s="445">
        <f t="shared" si="42"/>
        <v>0</v>
      </c>
      <c r="G193" s="445">
        <f t="shared" si="42"/>
        <v>0</v>
      </c>
      <c r="H193" s="445">
        <f t="shared" si="42"/>
        <v>0</v>
      </c>
      <c r="I193" s="1800">
        <f t="shared" si="42"/>
        <v>0</v>
      </c>
    </row>
    <row r="194" spans="1:9" ht="18.75" customHeight="1">
      <c r="A194" s="1801" t="s">
        <v>2374</v>
      </c>
      <c r="B194" s="1802">
        <f>C194+D194+E194+F194+G194+H194+I194</f>
        <v>40</v>
      </c>
      <c r="C194" s="1802">
        <f t="shared" ref="C194:I194" si="43">IF(C197&lt;0,C193+C197,C193)</f>
        <v>40</v>
      </c>
      <c r="D194" s="1802">
        <f t="shared" si="43"/>
        <v>0</v>
      </c>
      <c r="E194" s="1802">
        <f t="shared" si="43"/>
        <v>0</v>
      </c>
      <c r="F194" s="1802">
        <f t="shared" si="43"/>
        <v>0</v>
      </c>
      <c r="G194" s="1802">
        <f t="shared" si="43"/>
        <v>0</v>
      </c>
      <c r="H194" s="1802">
        <f t="shared" si="43"/>
        <v>0</v>
      </c>
      <c r="I194" s="1803">
        <f t="shared" si="43"/>
        <v>0</v>
      </c>
    </row>
    <row r="195" spans="1:9" ht="18.75" customHeight="1">
      <c r="A195" s="401" t="s">
        <v>2375</v>
      </c>
      <c r="B195" s="1804">
        <f>Berechnung!B183</f>
        <v>0</v>
      </c>
      <c r="C195" s="928">
        <f>Berechnung!C183</f>
        <v>0</v>
      </c>
      <c r="D195" s="928">
        <f>Berechnung!D183</f>
        <v>0</v>
      </c>
      <c r="E195" s="928">
        <f>Berechnung!E183</f>
        <v>0</v>
      </c>
      <c r="F195" s="928">
        <f>Berechnung!F183</f>
        <v>0</v>
      </c>
      <c r="G195" s="928">
        <f>Berechnung!G183</f>
        <v>0</v>
      </c>
      <c r="H195" s="928">
        <f>Berechnung!H183</f>
        <v>0</v>
      </c>
      <c r="I195" s="929">
        <f>Berechnung!I183</f>
        <v>0</v>
      </c>
    </row>
    <row r="196" spans="1:9" ht="18.75" customHeight="1">
      <c r="A196" s="1566" t="s">
        <v>2376</v>
      </c>
      <c r="B196" s="1795">
        <f t="shared" ref="B196:I196" si="44">B184</f>
        <v>0</v>
      </c>
      <c r="C196" s="1568">
        <f t="shared" si="44"/>
        <v>0</v>
      </c>
      <c r="D196" s="1568">
        <f t="shared" si="44"/>
        <v>0</v>
      </c>
      <c r="E196" s="1568">
        <f t="shared" si="44"/>
        <v>0</v>
      </c>
      <c r="F196" s="1568">
        <f t="shared" si="44"/>
        <v>0</v>
      </c>
      <c r="G196" s="1568">
        <f t="shared" si="44"/>
        <v>0</v>
      </c>
      <c r="H196" s="1568">
        <f t="shared" si="44"/>
        <v>0</v>
      </c>
      <c r="I196" s="1569">
        <f t="shared" si="44"/>
        <v>0</v>
      </c>
    </row>
    <row r="197" spans="1:9" ht="18.75" hidden="1" customHeight="1">
      <c r="A197" s="405"/>
      <c r="B197" s="1798">
        <f>B195-B196</f>
        <v>0</v>
      </c>
      <c r="C197" s="1798">
        <f t="shared" ref="C197:I197" si="45">IF(C195-C196&lt;0,0,C195-C196)</f>
        <v>0</v>
      </c>
      <c r="D197" s="1798">
        <f t="shared" si="45"/>
        <v>0</v>
      </c>
      <c r="E197" s="1798">
        <f t="shared" si="45"/>
        <v>0</v>
      </c>
      <c r="F197" s="1798">
        <f t="shared" si="45"/>
        <v>0</v>
      </c>
      <c r="G197" s="1798">
        <f t="shared" si="45"/>
        <v>0</v>
      </c>
      <c r="H197" s="1798">
        <f t="shared" si="45"/>
        <v>0</v>
      </c>
      <c r="I197" s="1799">
        <f t="shared" si="45"/>
        <v>0</v>
      </c>
    </row>
    <row r="198" spans="1:9" ht="18.75" hidden="1" customHeight="1">
      <c r="A198" s="405"/>
      <c r="B198" s="340"/>
      <c r="C198" s="636">
        <f t="shared" ref="C198:I198" si="46">C195-C196</f>
        <v>0</v>
      </c>
      <c r="D198" s="636">
        <f t="shared" si="46"/>
        <v>0</v>
      </c>
      <c r="E198" s="636">
        <f t="shared" si="46"/>
        <v>0</v>
      </c>
      <c r="F198" s="636">
        <f t="shared" si="46"/>
        <v>0</v>
      </c>
      <c r="G198" s="636">
        <f t="shared" si="46"/>
        <v>0</v>
      </c>
      <c r="H198" s="636">
        <f t="shared" si="46"/>
        <v>0</v>
      </c>
      <c r="I198" s="1805">
        <f t="shared" si="46"/>
        <v>0</v>
      </c>
    </row>
    <row r="199" spans="1:9" ht="18.75" customHeight="1">
      <c r="A199" s="1806" t="s">
        <v>2377</v>
      </c>
      <c r="B199" s="1807">
        <f>SUM(C199:I199)</f>
        <v>0</v>
      </c>
      <c r="C199" s="1807">
        <f t="shared" ref="C199:I199" si="47">C198</f>
        <v>0</v>
      </c>
      <c r="D199" s="1807">
        <f t="shared" si="47"/>
        <v>0</v>
      </c>
      <c r="E199" s="1807">
        <f t="shared" si="47"/>
        <v>0</v>
      </c>
      <c r="F199" s="1807">
        <f t="shared" si="47"/>
        <v>0</v>
      </c>
      <c r="G199" s="1807">
        <f t="shared" si="47"/>
        <v>0</v>
      </c>
      <c r="H199" s="1807">
        <f t="shared" si="47"/>
        <v>0</v>
      </c>
      <c r="I199" s="1808">
        <f t="shared" si="47"/>
        <v>0</v>
      </c>
    </row>
    <row r="200" spans="1:9" ht="18.75" customHeight="1">
      <c r="A200" s="1809" t="s">
        <v>2378</v>
      </c>
      <c r="B200" s="1265"/>
      <c r="C200" s="818"/>
      <c r="D200" s="818"/>
      <c r="E200" s="818"/>
      <c r="F200" s="818"/>
      <c r="G200" s="818"/>
      <c r="H200" s="818"/>
      <c r="I200" s="818"/>
    </row>
    <row r="201" spans="1:9" ht="43.5" customHeight="1"/>
    <row r="202" spans="1:9">
      <c r="A202" s="1258" t="s">
        <v>2183</v>
      </c>
      <c r="B202" s="1259"/>
      <c r="C202" s="981"/>
      <c r="D202" s="981"/>
      <c r="F202" s="1260"/>
      <c r="G202" s="818"/>
      <c r="H202" s="818"/>
      <c r="I202" s="818"/>
    </row>
    <row r="203" spans="1:9">
      <c r="A203" s="981" t="s">
        <v>2184</v>
      </c>
      <c r="B203" s="637">
        <f>IF(AND(C$58=0,C$54&lt;=100),0,IF(AND(C$58=0,C$54&lt;=1000),C$54-100,IF(AND(C$58=0,C$54&gt;1000),1000-100,IF(AND(C$58&gt;0,C$54+C$58&lt;=100),0,IF(AND(C$58&gt;0,C$58+C$54&lt;=1000),C$58+C$54-100,IF(AND(C$58&gt;0,C$58+C$54&gt;1000),1000-100))))))</f>
        <v>0</v>
      </c>
      <c r="C203" s="981" t="s">
        <v>2185</v>
      </c>
      <c r="D203" s="637">
        <f>B203*20/100</f>
        <v>0</v>
      </c>
      <c r="F203" s="818"/>
      <c r="G203" s="818"/>
      <c r="H203" s="818"/>
      <c r="I203" s="952"/>
    </row>
    <row r="204" spans="1:9">
      <c r="A204" s="981" t="s">
        <v>2186</v>
      </c>
      <c r="B204" s="637">
        <f>IF(C$54+C$58&lt;1000.01,0,IF(AND(C$54+C$58&gt;1000,C$54+C$58&lt;=1200),C$54+C$58-1000,IF(AND(C$54+C$58&gt;1200,C8="ja",C$54+C$58&lt;=1500),C$54+C$58-1000,IF(AND(C$54+C$58&gt;1200,C8="nein",C$54+C$58&lt;=1500),1200-1000,IF(AND(C$54+C$58&gt;=1500,C8="ja"),1500-1000,IF(AND(C$54+C$58&gt;1500,C8="nein"),1200-1000))))))</f>
        <v>0</v>
      </c>
      <c r="C204" s="981" t="s">
        <v>2187</v>
      </c>
      <c r="D204" s="637">
        <f>B204*10/100</f>
        <v>0</v>
      </c>
      <c r="F204" s="818"/>
      <c r="G204" s="818"/>
      <c r="H204" s="818"/>
      <c r="I204" s="952"/>
    </row>
    <row r="205" spans="1:9">
      <c r="A205" s="1262" t="s">
        <v>141</v>
      </c>
      <c r="B205" s="981"/>
      <c r="C205" s="981"/>
      <c r="D205" s="1263">
        <f>SUM(D203:D204)</f>
        <v>0</v>
      </c>
      <c r="F205" s="818"/>
      <c r="G205" s="818"/>
      <c r="H205" s="818"/>
      <c r="I205" s="952"/>
    </row>
    <row r="206" spans="1:9">
      <c r="A206" s="981"/>
      <c r="B206" s="981"/>
      <c r="C206" s="981"/>
      <c r="D206" s="981"/>
      <c r="F206" s="818"/>
      <c r="G206" s="818"/>
      <c r="H206" s="818"/>
      <c r="I206" s="952"/>
    </row>
    <row r="207" spans="1:9">
      <c r="A207" s="1258" t="s">
        <v>2188</v>
      </c>
      <c r="B207" s="1259"/>
      <c r="C207" s="981"/>
      <c r="D207" s="981"/>
      <c r="F207" s="818"/>
      <c r="G207" s="818"/>
      <c r="H207" s="818"/>
      <c r="I207" s="818"/>
    </row>
    <row r="208" spans="1:9">
      <c r="A208" s="981" t="s">
        <v>2184</v>
      </c>
      <c r="B208" s="637">
        <f>IF(AND(D$58=0,D$54&lt;=100),0,IF(AND(D$58=0,D$54&lt;=1000),D$54-100,IF(AND(D$58=0,D$54&gt;1000),1000-100,IF(AND(D$58&gt;0,D$54+D$58&lt;=100),0,IF(AND(D$58&gt;0,D$58+D$54&lt;=1000),D$58+D$54-100,IF(AND(D$58&gt;0,D$58+D$54&gt;1000),1000-100))))))</f>
        <v>0</v>
      </c>
      <c r="C208" s="981" t="s">
        <v>2185</v>
      </c>
      <c r="D208" s="637">
        <f>B208*20/100</f>
        <v>0</v>
      </c>
      <c r="F208" s="818"/>
      <c r="G208" s="818"/>
      <c r="H208" s="818"/>
      <c r="I208" s="952"/>
    </row>
    <row r="209" spans="1:9">
      <c r="A209" s="981" t="s">
        <v>2186</v>
      </c>
      <c r="B209" s="637">
        <f>IF(D$54+D$58&lt;1000.01,0,IF(AND(D$54+D$58&gt;1000,D$54+D$58&lt;=1200),D$54+D$58-1000,IF(AND(D$54+D$58&gt;1200,D$8="ja",D$54+D$58&lt;=1500),D$54+D$58-1000,IF(AND(D$54+D$58&gt;1200,D$8="nein",D$54+D$58&lt;=1500),1200-1000,IF(AND(D$54+D$58&gt;=1500,D$8="ja"),1500-1000,IF(AND(D$54+D$58&gt;1500,D$8="nein"),1200-1000))))))</f>
        <v>0</v>
      </c>
      <c r="C209" s="981" t="s">
        <v>2187</v>
      </c>
      <c r="D209" s="637">
        <f>B209*10/100</f>
        <v>0</v>
      </c>
      <c r="F209" s="818"/>
      <c r="G209" s="818"/>
      <c r="H209" s="818"/>
      <c r="I209" s="952"/>
    </row>
    <row r="210" spans="1:9">
      <c r="A210" s="1262" t="s">
        <v>141</v>
      </c>
      <c r="B210" s="981"/>
      <c r="C210" s="981"/>
      <c r="D210" s="1263">
        <f>SUM(D208:D209)</f>
        <v>0</v>
      </c>
      <c r="F210" s="818"/>
      <c r="G210" s="818"/>
      <c r="H210" s="818"/>
      <c r="I210" s="952"/>
    </row>
    <row r="211" spans="1:9">
      <c r="A211" s="981"/>
      <c r="B211" s="981"/>
      <c r="C211" s="981"/>
      <c r="D211" s="981"/>
      <c r="F211" s="818"/>
      <c r="G211" s="818"/>
      <c r="H211" s="818"/>
      <c r="I211" s="952"/>
    </row>
    <row r="212" spans="1:9">
      <c r="A212" s="1258" t="s">
        <v>2189</v>
      </c>
      <c r="B212" s="1259"/>
      <c r="C212" s="981"/>
      <c r="D212" s="981"/>
      <c r="F212" s="818"/>
      <c r="G212" s="818"/>
      <c r="H212" s="818"/>
      <c r="I212" s="952"/>
    </row>
    <row r="213" spans="1:9">
      <c r="A213" s="981" t="s">
        <v>2184</v>
      </c>
      <c r="B213" s="637">
        <f>IF(AND(E$58=0,E$54&lt;=100),0,IF(AND(E$58=0,E$54&lt;=1000),E$54-100,IF(AND(E$58=0,E$54&gt;1000),1000-100,IF(AND(E$58&gt;0,E$54+E$58&lt;=100),0,IF(AND(E$58&gt;0,E$58+E$54&lt;=1000),E$58+E$54-100,IF(AND(E$58&gt;0,E$58+E$54&gt;1000),1000-100))))))</f>
        <v>0</v>
      </c>
      <c r="C213" s="981" t="s">
        <v>2185</v>
      </c>
      <c r="D213" s="637">
        <f>B213*20/100</f>
        <v>0</v>
      </c>
    </row>
    <row r="214" spans="1:9">
      <c r="A214" s="981" t="s">
        <v>2186</v>
      </c>
      <c r="B214" s="637">
        <f>IF(E$54+E$58&lt;1000.01,0,IF(AND(E$54+E$58&gt;1000,E$54+E$58&lt;=1200),E$54+E$58-1000,IF(E$54+E$58&gt;1200,1200-1000,)))</f>
        <v>0</v>
      </c>
      <c r="C214" s="981" t="s">
        <v>2187</v>
      </c>
      <c r="D214" s="637">
        <f>B214*10/100</f>
        <v>0</v>
      </c>
    </row>
    <row r="215" spans="1:9">
      <c r="A215" s="1262" t="s">
        <v>141</v>
      </c>
      <c r="B215" s="981"/>
      <c r="C215" s="981"/>
      <c r="D215" s="1263">
        <f>SUM(D213:D214)</f>
        <v>0</v>
      </c>
    </row>
    <row r="216" spans="1:9">
      <c r="A216" s="981"/>
      <c r="B216" s="981"/>
      <c r="C216" s="981"/>
      <c r="D216" s="981"/>
    </row>
    <row r="217" spans="1:9">
      <c r="A217" s="1258" t="s">
        <v>2190</v>
      </c>
      <c r="B217" s="1259"/>
      <c r="C217" s="981"/>
      <c r="D217" s="981"/>
    </row>
    <row r="218" spans="1:9">
      <c r="A218" s="981" t="s">
        <v>2184</v>
      </c>
      <c r="B218" s="637">
        <f>IF(AND(F$58=0,F$54&lt;=100),0,IF(AND(F$58=0,F$54&lt;=1000),F$54-100,IF(AND(F$58=0,F$54&gt;1000),1000-100,IF(AND(F$58&gt;0,F$54+F$58&lt;=100),0,IF(AND(F$58&gt;0,F$58+F$54&lt;=1000),F$58+F$54-100,IF(AND(F$58&gt;0,F$58+F$54&gt;1000),1000-100))))))</f>
        <v>0</v>
      </c>
      <c r="C218" s="981" t="s">
        <v>2185</v>
      </c>
      <c r="D218" s="637">
        <f>B218*20/100</f>
        <v>0</v>
      </c>
    </row>
    <row r="219" spans="1:9">
      <c r="A219" s="981" t="s">
        <v>2186</v>
      </c>
      <c r="B219" s="637">
        <f>IF(F$54+F$58&lt;1000.01,0,IF(AND(F$54+F$58&gt;1000,F$54+F$58&lt;=1200),F$54+F$58-1000,IF(F$54+F$58&gt;1200,1200-1000,)))</f>
        <v>0</v>
      </c>
      <c r="C219" s="981" t="s">
        <v>2187</v>
      </c>
      <c r="D219" s="637">
        <f>B219*10/100</f>
        <v>0</v>
      </c>
    </row>
    <row r="220" spans="1:9">
      <c r="A220" s="1262" t="s">
        <v>141</v>
      </c>
      <c r="B220" s="981"/>
      <c r="C220" s="981"/>
      <c r="D220" s="1263">
        <f>SUM(D218:D219)</f>
        <v>0</v>
      </c>
    </row>
    <row r="221" spans="1:9">
      <c r="A221" s="981"/>
      <c r="B221" s="981"/>
      <c r="C221" s="981"/>
      <c r="D221" s="981"/>
    </row>
    <row r="222" spans="1:9">
      <c r="A222" s="1258" t="s">
        <v>2191</v>
      </c>
      <c r="B222" s="1259"/>
      <c r="C222" s="981"/>
      <c r="D222" s="981"/>
    </row>
    <row r="223" spans="1:9">
      <c r="A223" s="981" t="s">
        <v>2184</v>
      </c>
      <c r="B223" s="637">
        <f>IF(AND(G$58=0,G$54&lt;=100),0,IF(AND(G$58=0,G$54&lt;=1000),G$54-100,IF(AND(G$58=0,G$54&gt;1000),1000-100,IF(AND(G$58&gt;0,G$54+G$58&lt;=100),0,IF(AND(G$58&gt;0,G$58+G$54&lt;=1000),G$58+G$54-100,IF(AND(G$58&gt;0,G$58+G$54&gt;1000),1000-100))))))</f>
        <v>0</v>
      </c>
      <c r="C223" s="981" t="s">
        <v>2185</v>
      </c>
      <c r="D223" s="637">
        <f>B223*20/100</f>
        <v>0</v>
      </c>
    </row>
    <row r="224" spans="1:9">
      <c r="A224" s="981" t="s">
        <v>2186</v>
      </c>
      <c r="B224" s="637">
        <f>IF(G$54+G$58&lt;1000.01,0,IF(AND(G$54+G$58&gt;1000,G$54+G$58&lt;=1200),G$54+G$58-1000,IF(G$54+G$58&gt;1200,1200-1000,)))</f>
        <v>0</v>
      </c>
      <c r="C224" s="981" t="s">
        <v>2187</v>
      </c>
      <c r="D224" s="637">
        <f>B224*10/100</f>
        <v>0</v>
      </c>
    </row>
    <row r="225" spans="1:4">
      <c r="A225" s="1262" t="s">
        <v>141</v>
      </c>
      <c r="B225" s="981"/>
      <c r="C225" s="981"/>
      <c r="D225" s="1263">
        <f>SUM(D223:D224)</f>
        <v>0</v>
      </c>
    </row>
    <row r="226" spans="1:4">
      <c r="A226" s="981"/>
      <c r="B226" s="981"/>
      <c r="C226" s="981"/>
      <c r="D226" s="981"/>
    </row>
    <row r="227" spans="1:4">
      <c r="A227" s="1258" t="s">
        <v>2192</v>
      </c>
      <c r="B227" s="1259"/>
      <c r="C227" s="981"/>
      <c r="D227" s="981"/>
    </row>
    <row r="228" spans="1:4">
      <c r="A228" s="981" t="s">
        <v>2184</v>
      </c>
      <c r="B228" s="637">
        <f>IF(AND(H$58=0,H$54&lt;=100),0,IF(AND(H$58=0,H$54&lt;=1000),H$54-100,IF(AND(H$58=0,H$54&gt;1000),1000-100,IF(AND(H$58&gt;0,H$54+H$58&lt;=100),0,IF(AND(H$58&gt;0,H$58+H$54&lt;=1000),H$58+H$54-100,IF(AND(H$58&gt;0,H$58+H$54&gt;1000),1000-100))))))</f>
        <v>0</v>
      </c>
      <c r="C228" s="981" t="s">
        <v>2185</v>
      </c>
      <c r="D228" s="637">
        <f>B228*20/100</f>
        <v>0</v>
      </c>
    </row>
    <row r="229" spans="1:4">
      <c r="A229" s="981" t="s">
        <v>2186</v>
      </c>
      <c r="B229" s="637">
        <f>IF(H$54+H$58&lt;1000.01,0,IF(AND(H$54+H$58&gt;1000,H$54+H$58&lt;=1200),H$54+H$58-1000,IF(H$54+H$58&gt;1200,1200-1000,)))</f>
        <v>0</v>
      </c>
      <c r="C229" s="981" t="s">
        <v>2187</v>
      </c>
      <c r="D229" s="637">
        <f>B229*10/100</f>
        <v>0</v>
      </c>
    </row>
    <row r="230" spans="1:4">
      <c r="A230" s="1262" t="s">
        <v>141</v>
      </c>
      <c r="B230" s="981"/>
      <c r="C230" s="981"/>
      <c r="D230" s="1263">
        <f>SUM(D228:D229)</f>
        <v>0</v>
      </c>
    </row>
    <row r="231" spans="1:4">
      <c r="A231" s="981"/>
      <c r="B231" s="981"/>
      <c r="C231" s="981"/>
      <c r="D231" s="981"/>
    </row>
    <row r="232" spans="1:4">
      <c r="A232" s="1258" t="s">
        <v>2193</v>
      </c>
      <c r="B232" s="1259"/>
      <c r="C232" s="981"/>
      <c r="D232" s="981"/>
    </row>
    <row r="233" spans="1:4">
      <c r="A233" s="981" t="s">
        <v>2184</v>
      </c>
      <c r="B233" s="637">
        <f>IF(AND(I$58=0,I$54&lt;=100),0,IF(AND(I$58=0,I$54&lt;=1000),I$54-100,IF(AND(I$58=0,I$54&gt;1000),1000-100,IF(AND(I$58&gt;0,I$54+I$58&lt;=100),0,IF(AND(I$58&gt;0,I$58+I$54&lt;=1000),I$58+I$54-100,IF(AND(I$58&gt;0,I$58+I$54&gt;1000),1000-100))))))</f>
        <v>0</v>
      </c>
      <c r="C233" s="981" t="s">
        <v>2185</v>
      </c>
      <c r="D233" s="637">
        <f>B233*20/100</f>
        <v>0</v>
      </c>
    </row>
    <row r="234" spans="1:4">
      <c r="A234" s="981" t="s">
        <v>2186</v>
      </c>
      <c r="B234" s="637">
        <f>IF(I$54+I$58&lt;1000.01,0,IF(AND(I$54+I$58&gt;1000,I$54+I$58&lt;=1200),I$54+I$58-1000,IF(I$54+I$58&gt;1200,1200-1000,)))</f>
        <v>0</v>
      </c>
      <c r="C234" s="981" t="s">
        <v>2187</v>
      </c>
      <c r="D234" s="637">
        <f>B234*10/100</f>
        <v>0</v>
      </c>
    </row>
    <row r="235" spans="1:4">
      <c r="A235" s="1262" t="s">
        <v>141</v>
      </c>
      <c r="B235" s="981"/>
      <c r="C235" s="981"/>
      <c r="D235" s="1263">
        <f>SUM(D233:D234)</f>
        <v>0</v>
      </c>
    </row>
    <row r="236" spans="1:4">
      <c r="A236" s="818"/>
      <c r="B236" s="1264"/>
      <c r="C236" s="818"/>
      <c r="D236" s="818"/>
    </row>
    <row r="237" spans="1:4">
      <c r="A237" s="818"/>
      <c r="B237" s="952"/>
      <c r="C237" s="818"/>
      <c r="D237" s="952"/>
    </row>
    <row r="238" spans="1:4">
      <c r="A238" s="818"/>
      <c r="B238" s="952"/>
      <c r="C238" s="818"/>
      <c r="D238" s="952"/>
    </row>
    <row r="239" spans="1:4">
      <c r="A239" s="1265"/>
      <c r="B239" s="818"/>
      <c r="C239" s="818"/>
      <c r="D239" s="952"/>
    </row>
    <row r="240" spans="1:4">
      <c r="A240" s="818"/>
      <c r="B240" s="818"/>
      <c r="C240" s="818"/>
      <c r="D240" s="818"/>
    </row>
    <row r="241" spans="1:4">
      <c r="A241" s="1266"/>
      <c r="B241" s="1260"/>
      <c r="C241" s="818"/>
      <c r="D241" s="818"/>
    </row>
    <row r="242" spans="1:4">
      <c r="A242" s="818"/>
      <c r="B242" s="952"/>
      <c r="C242" s="818"/>
      <c r="D242" s="952"/>
    </row>
    <row r="243" spans="1:4">
      <c r="A243" s="818"/>
      <c r="B243" s="952"/>
      <c r="C243" s="818"/>
      <c r="D243" s="952"/>
    </row>
    <row r="244" spans="1:4">
      <c r="A244" s="1265"/>
      <c r="B244" s="818"/>
      <c r="C244" s="818"/>
      <c r="D244" s="952"/>
    </row>
    <row r="245" spans="1:4">
      <c r="A245" s="818"/>
      <c r="B245" s="818"/>
      <c r="C245" s="818"/>
      <c r="D245" s="818"/>
    </row>
    <row r="246" spans="1:4">
      <c r="A246" s="1266"/>
      <c r="B246" s="1260"/>
      <c r="C246" s="818"/>
      <c r="D246" s="818"/>
    </row>
    <row r="247" spans="1:4">
      <c r="A247" s="818"/>
      <c r="B247" s="952"/>
      <c r="C247" s="818"/>
      <c r="D247" s="952"/>
    </row>
    <row r="248" spans="1:4">
      <c r="A248" s="818"/>
      <c r="B248" s="952"/>
      <c r="C248" s="818"/>
      <c r="D248" s="952"/>
    </row>
    <row r="249" spans="1:4">
      <c r="A249" s="1265"/>
      <c r="B249" s="818"/>
      <c r="C249" s="818"/>
      <c r="D249" s="952"/>
    </row>
    <row r="250" spans="1:4">
      <c r="A250" s="818"/>
      <c r="B250" s="818"/>
      <c r="C250" s="818"/>
      <c r="D250" s="818"/>
    </row>
    <row r="251" spans="1:4">
      <c r="A251" s="1266"/>
      <c r="B251" s="1260"/>
      <c r="C251" s="818"/>
      <c r="D251" s="818"/>
    </row>
    <row r="252" spans="1:4">
      <c r="A252" s="818"/>
      <c r="B252" s="952"/>
      <c r="C252" s="818"/>
      <c r="D252" s="952"/>
    </row>
    <row r="253" spans="1:4">
      <c r="A253" s="818"/>
      <c r="B253" s="952"/>
      <c r="C253" s="818"/>
      <c r="D253" s="952"/>
    </row>
    <row r="254" spans="1:4">
      <c r="A254" s="1265"/>
      <c r="B254" s="818"/>
      <c r="C254" s="818"/>
      <c r="D254" s="952"/>
    </row>
  </sheetData>
  <sheetProtection sheet="1" objects="1" scenarios="1"/>
  <mergeCells count="1">
    <mergeCell ref="B3:C3"/>
  </mergeCells>
  <conditionalFormatting sqref="C185:I185 C21:I46 C14:C19 C180:I181 C132 D132:D133 C138:C146 E131:I133 D127:I128 C7:I7 C13:I13 B3:C3 C49:I49 C195:I196 C178:I178 D15:I19 C118:I119 C10:I11 D71:I71 C112:I112 C95:I99 C101:I110 C74:I81 C90:I93 C114:I114 C54:I70 C88:I88 D138:I138 C171:I172 C148:I148 D139:D146">
    <cfRule type="cellIs" dxfId="73" priority="2" operator="equal">
      <formula>0</formula>
    </cfRule>
  </conditionalFormatting>
  <conditionalFormatting sqref="B185 B171:B173 B178:B183 B195:B196 B21:B47 B145:B148 E149:I151 C47:I47 B50:C50 B13:B19 B54:B120">
    <cfRule type="cellIs" dxfId="72" priority="3" operator="equal">
      <formula>0</formula>
    </cfRule>
  </conditionalFormatting>
  <conditionalFormatting sqref="B176:I176 B184:I184">
    <cfRule type="cellIs" dxfId="71" priority="4" operator="equal">
      <formula>0</formula>
    </cfRule>
  </conditionalFormatting>
  <conditionalFormatting sqref="A150">
    <cfRule type="cellIs" dxfId="70" priority="5" operator="equal">
      <formula>"Mehrbedarf nach § 27 (2) SGB II"</formula>
    </cfRule>
  </conditionalFormatting>
  <conditionalFormatting sqref="C150:D151">
    <cfRule type="cellIs" dxfId="69" priority="6" operator="notEqual">
      <formula>0</formula>
    </cfRule>
  </conditionalFormatting>
  <conditionalFormatting sqref="C161">
    <cfRule type="expression" dxfId="68" priority="7">
      <formula>$C$150&gt;0</formula>
    </cfRule>
  </conditionalFormatting>
  <conditionalFormatting sqref="A151">
    <cfRule type="cellIs" dxfId="67" priority="8" operator="equal">
      <formula>"./. Überschuss"</formula>
    </cfRule>
  </conditionalFormatting>
  <conditionalFormatting sqref="D161">
    <cfRule type="expression" dxfId="66" priority="9">
      <formula>$D$150&gt;0</formula>
    </cfRule>
  </conditionalFormatting>
  <conditionalFormatting sqref="B163:I163">
    <cfRule type="cellIs" dxfId="65" priority="10" operator="equal">
      <formula>0</formula>
    </cfRule>
  </conditionalFormatting>
  <conditionalFormatting sqref="B199:I199">
    <cfRule type="cellIs" dxfId="64" priority="11" operator="equal">
      <formula>0</formula>
    </cfRule>
  </conditionalFormatting>
  <conditionalFormatting sqref="C111:I111">
    <cfRule type="cellIs" dxfId="63" priority="12" operator="equal">
      <formula>0</formula>
    </cfRule>
  </conditionalFormatting>
  <conditionalFormatting sqref="A49">
    <cfRule type="cellIs" dxfId="62" priority="13" operator="equal">
      <formula>0</formula>
    </cfRule>
  </conditionalFormatting>
  <conditionalFormatting sqref="C115:D115">
    <cfRule type="cellIs" dxfId="61" priority="14" operator="equal">
      <formula>0</formula>
    </cfRule>
  </conditionalFormatting>
  <conditionalFormatting sqref="E115:I115">
    <cfRule type="cellIs" dxfId="60" priority="15" operator="equal">
      <formula>0</formula>
    </cfRule>
  </conditionalFormatting>
  <conditionalFormatting sqref="C116:D116">
    <cfRule type="cellIs" dxfId="59" priority="16" operator="equal">
      <formula>0</formula>
    </cfRule>
  </conditionalFormatting>
  <conditionalFormatting sqref="E116:I116">
    <cfRule type="cellIs" dxfId="58" priority="17" operator="equal">
      <formula>0</formula>
    </cfRule>
  </conditionalFormatting>
  <conditionalFormatting sqref="C71">
    <cfRule type="cellIs" dxfId="57" priority="18" operator="equal">
      <formula>0</formula>
    </cfRule>
  </conditionalFormatting>
  <conditionalFormatting sqref="C120:I120">
    <cfRule type="cellIs" dxfId="56" priority="19" operator="equal">
      <formula>0</formula>
    </cfRule>
  </conditionalFormatting>
  <conditionalFormatting sqref="C82:I82">
    <cfRule type="cellIs" dxfId="55" priority="20" operator="equal">
      <formula>0</formula>
    </cfRule>
  </conditionalFormatting>
  <conditionalFormatting sqref="C113:I113">
    <cfRule type="cellIs" dxfId="54" priority="21" operator="equal">
      <formula>0</formula>
    </cfRule>
  </conditionalFormatting>
  <conditionalFormatting sqref="C87:I87">
    <cfRule type="cellIs" dxfId="53" priority="22" operator="equal">
      <formula>0</formula>
    </cfRule>
  </conditionalFormatting>
  <conditionalFormatting sqref="C154:I157">
    <cfRule type="cellIs" dxfId="52" priority="23" operator="equal">
      <formula>0</formula>
    </cfRule>
  </conditionalFormatting>
  <conditionalFormatting sqref="B153:B158">
    <cfRule type="cellIs" dxfId="51" priority="24" operator="equal">
      <formula>0</formula>
    </cfRule>
  </conditionalFormatting>
  <conditionalFormatting sqref="C117:I117">
    <cfRule type="cellIs" dxfId="50" priority="25" operator="equal">
      <formula>0</formula>
    </cfRule>
  </conditionalFormatting>
  <conditionalFormatting sqref="C83:I83">
    <cfRule type="cellIs" dxfId="49" priority="26" operator="equal">
      <formula>0</formula>
    </cfRule>
  </conditionalFormatting>
  <conditionalFormatting sqref="C85:I85">
    <cfRule type="cellIs" dxfId="48" priority="27" operator="equal">
      <formula>0</formula>
    </cfRule>
  </conditionalFormatting>
  <conditionalFormatting sqref="C86:I86">
    <cfRule type="cellIs" dxfId="47" priority="28" operator="equal">
      <formula>0</formula>
    </cfRule>
  </conditionalFormatting>
  <conditionalFormatting sqref="C147">
    <cfRule type="cellIs" dxfId="46" priority="29" operator="equal">
      <formula>0</formula>
    </cfRule>
  </conditionalFormatting>
  <conditionalFormatting sqref="D147">
    <cfRule type="cellIs" dxfId="45" priority="30" operator="equal">
      <formula>0</formula>
    </cfRule>
  </conditionalFormatting>
  <conditionalFormatting sqref="E147:I147">
    <cfRule type="cellIs" dxfId="44" priority="31" operator="equal">
      <formula>0</formula>
    </cfRule>
  </conditionalFormatting>
  <conditionalFormatting sqref="C137:D137">
    <cfRule type="cellIs" dxfId="43" priority="32" operator="equal">
      <formula>0</formula>
    </cfRule>
  </conditionalFormatting>
  <pageMargins left="1.0631944444444399" right="0.66944444444444395" top="0.15763888888888899" bottom="0.118055555555556"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dimension ref="A1:BL33"/>
  <sheetViews>
    <sheetView showGridLines="0" zoomScale="125" zoomScaleNormal="125" workbookViewId="0">
      <selection activeCell="C45" sqref="C45"/>
    </sheetView>
  </sheetViews>
  <sheetFormatPr baseColWidth="10" defaultColWidth="11.5703125" defaultRowHeight="12.75"/>
  <cols>
    <col min="1" max="1" width="31.140625" style="1535" customWidth="1"/>
    <col min="2" max="2" width="13.140625" style="1535" customWidth="1"/>
    <col min="3" max="64" width="11.42578125" style="1535" customWidth="1"/>
  </cols>
  <sheetData>
    <row r="1" spans="1:9" ht="18">
      <c r="A1" s="1810" t="s">
        <v>2379</v>
      </c>
      <c r="B1" s="1811"/>
      <c r="C1" s="1811"/>
      <c r="D1" s="1811"/>
      <c r="E1" s="1811"/>
      <c r="F1" s="1811"/>
      <c r="G1" s="1812"/>
      <c r="H1" s="1812"/>
      <c r="I1" s="1812"/>
    </row>
    <row r="2" spans="1:9" ht="16.5">
      <c r="A2" s="1813" t="s">
        <v>2233</v>
      </c>
      <c r="B2" s="1814">
        <f>Zusatzeingaben!B2</f>
        <v>0</v>
      </c>
      <c r="C2" s="1815"/>
      <c r="F2" s="1813" t="s">
        <v>139</v>
      </c>
      <c r="G2" s="1816">
        <f>Zusatzeingaben!E2</f>
        <v>44774</v>
      </c>
    </row>
    <row r="3" spans="1:9" ht="18">
      <c r="A3" s="1817" t="s">
        <v>2380</v>
      </c>
      <c r="B3" s="1818"/>
      <c r="C3" s="1819"/>
      <c r="D3" s="1819"/>
      <c r="E3" s="1819"/>
      <c r="F3" s="1819"/>
      <c r="G3" s="1819"/>
      <c r="H3" s="1819"/>
      <c r="I3" s="1819"/>
    </row>
    <row r="4" spans="1:9">
      <c r="A4" s="1820"/>
      <c r="B4" s="1821" t="s">
        <v>246</v>
      </c>
      <c r="C4" s="1822" t="str">
        <f>Berechnung!C167</f>
        <v>Antragsteller</v>
      </c>
      <c r="D4" s="1822" t="str">
        <f>Berechnung!D167</f>
        <v>Partner(in)</v>
      </c>
      <c r="E4" s="1822" t="str">
        <f>Berechnung!E167</f>
        <v>Kind 1</v>
      </c>
      <c r="F4" s="1822" t="str">
        <f>Berechnung!F167</f>
        <v>Kind 2</v>
      </c>
      <c r="G4" s="1822" t="str">
        <f>Berechnung!G167</f>
        <v>Kind 3</v>
      </c>
      <c r="H4" s="1822" t="str">
        <f>Berechnung!H167</f>
        <v>Kind 4</v>
      </c>
      <c r="I4" s="1822" t="str">
        <f>Berechnung!I167</f>
        <v>Kind 5</v>
      </c>
    </row>
    <row r="5" spans="1:9">
      <c r="A5" s="1820" t="s">
        <v>2381</v>
      </c>
      <c r="B5" s="1823">
        <f>Berechnung!B169</f>
        <v>449</v>
      </c>
      <c r="C5" s="1824">
        <f>Berechnung!C169</f>
        <v>449</v>
      </c>
      <c r="D5" s="1824">
        <f>Berechnung!D169</f>
        <v>0</v>
      </c>
      <c r="E5" s="1824">
        <f>Berechnung!E169</f>
        <v>0</v>
      </c>
      <c r="F5" s="1824">
        <f>Berechnung!F169</f>
        <v>0</v>
      </c>
      <c r="G5" s="1824">
        <f>Berechnung!G169</f>
        <v>0</v>
      </c>
      <c r="H5" s="1824">
        <f>Berechnung!H169</f>
        <v>0</v>
      </c>
      <c r="I5" s="1824">
        <f>Berechnung!I169</f>
        <v>0</v>
      </c>
    </row>
    <row r="6" spans="1:9">
      <c r="A6" s="1820" t="s">
        <v>2176</v>
      </c>
      <c r="B6" s="1823">
        <f>SUM(C6:I6)</f>
        <v>0</v>
      </c>
      <c r="C6" s="1824">
        <f>Berechnung!C170</f>
        <v>0</v>
      </c>
      <c r="D6" s="1824">
        <f>Berechnung!D170</f>
        <v>0</v>
      </c>
      <c r="E6" s="1824">
        <f>Berechnung!E170</f>
        <v>0</v>
      </c>
      <c r="F6" s="1824">
        <f>Berechnung!F170</f>
        <v>0</v>
      </c>
      <c r="G6" s="1824">
        <f>Berechnung!G170</f>
        <v>0</v>
      </c>
      <c r="H6" s="1824">
        <f>Berechnung!H170</f>
        <v>0</v>
      </c>
      <c r="I6" s="1824">
        <f>Berechnung!I170</f>
        <v>0</v>
      </c>
    </row>
    <row r="7" spans="1:9">
      <c r="A7" s="1825" t="s">
        <v>2177</v>
      </c>
      <c r="B7" s="1826">
        <f>SUM(C7:I7)</f>
        <v>0</v>
      </c>
      <c r="C7" s="1827">
        <f>Berechnung!C171</f>
        <v>0</v>
      </c>
      <c r="D7" s="1827">
        <f>Berechnung!D171</f>
        <v>0</v>
      </c>
      <c r="E7" s="1827">
        <f>Berechnung!E171</f>
        <v>0</v>
      </c>
      <c r="F7" s="1827">
        <f>Berechnung!F171</f>
        <v>0</v>
      </c>
      <c r="G7" s="1827">
        <f>Berechnung!G171</f>
        <v>0</v>
      </c>
      <c r="H7" s="1827">
        <f>Berechnung!H171</f>
        <v>0</v>
      </c>
      <c r="I7" s="1827">
        <f>Berechnung!I171</f>
        <v>0</v>
      </c>
    </row>
    <row r="8" spans="1:9">
      <c r="A8" s="1828" t="s">
        <v>2178</v>
      </c>
      <c r="B8" s="1829">
        <f>SUM(C8:I8)</f>
        <v>449</v>
      </c>
      <c r="C8" s="1829">
        <f>Berechnung!C175</f>
        <v>449</v>
      </c>
      <c r="D8" s="1829">
        <f>Berechnung!D175</f>
        <v>0</v>
      </c>
      <c r="E8" s="1829">
        <f>Berechnung!E175</f>
        <v>0</v>
      </c>
      <c r="F8" s="1829">
        <f>Berechnung!F175</f>
        <v>0</v>
      </c>
      <c r="G8" s="1829">
        <f>Berechnung!G175</f>
        <v>0</v>
      </c>
      <c r="H8" s="1829">
        <f>Berechnung!H175</f>
        <v>0</v>
      </c>
      <c r="I8" s="1829">
        <f>Berechnung!I175</f>
        <v>0</v>
      </c>
    </row>
    <row r="9" spans="1:9">
      <c r="A9" s="1820" t="s">
        <v>2179</v>
      </c>
      <c r="B9" s="1823"/>
      <c r="C9" s="1824">
        <f>Berechnung!C177</f>
        <v>0</v>
      </c>
      <c r="D9" s="1824">
        <f>Berechnung!D177</f>
        <v>0</v>
      </c>
      <c r="E9" s="1824">
        <f>Berechnung!E177</f>
        <v>0</v>
      </c>
      <c r="F9" s="1824">
        <f>Berechnung!F177</f>
        <v>0</v>
      </c>
      <c r="G9" s="1824">
        <f>Berechnung!G177</f>
        <v>0</v>
      </c>
      <c r="H9" s="1824">
        <f>Berechnung!H177</f>
        <v>0</v>
      </c>
      <c r="I9" s="1824">
        <f>Berechnung!I177</f>
        <v>0</v>
      </c>
    </row>
    <row r="10" spans="1:9">
      <c r="A10" s="1820" t="s">
        <v>2180</v>
      </c>
      <c r="B10" s="1823">
        <f>SUM(C10:I10)</f>
        <v>0</v>
      </c>
      <c r="C10" s="1824">
        <f>Berechnung!C179</f>
        <v>0</v>
      </c>
      <c r="D10" s="1824">
        <f>Berechnung!D179</f>
        <v>0</v>
      </c>
      <c r="E10" s="1824">
        <f>Berechnung!E179</f>
        <v>0</v>
      </c>
      <c r="F10" s="1824">
        <f>Berechnung!F179</f>
        <v>0</v>
      </c>
      <c r="G10" s="1824">
        <f>Berechnung!G179</f>
        <v>0</v>
      </c>
      <c r="H10" s="1824">
        <f>Berechnung!H179</f>
        <v>0</v>
      </c>
      <c r="I10" s="1824">
        <f>Berechnung!I179</f>
        <v>0</v>
      </c>
    </row>
    <row r="11" spans="1:9">
      <c r="A11" s="1825" t="s">
        <v>2181</v>
      </c>
      <c r="B11" s="1826">
        <f>SUM(C11:I11)</f>
        <v>0</v>
      </c>
      <c r="C11" s="1827">
        <f>Berechnung!C180</f>
        <v>0</v>
      </c>
      <c r="D11" s="1827">
        <f>Berechnung!D180</f>
        <v>0</v>
      </c>
      <c r="E11" s="1827">
        <f>Berechnung!E180</f>
        <v>0</v>
      </c>
      <c r="F11" s="1827">
        <f>Berechnung!F180</f>
        <v>0</v>
      </c>
      <c r="G11" s="1827">
        <f>Berechnung!G180</f>
        <v>0</v>
      </c>
      <c r="H11" s="1827">
        <f>Berechnung!H180</f>
        <v>0</v>
      </c>
      <c r="I11" s="1827">
        <f>Berechnung!I180</f>
        <v>0</v>
      </c>
    </row>
    <row r="12" spans="1:9">
      <c r="A12" s="1828" t="s">
        <v>2382</v>
      </c>
      <c r="B12" s="1829">
        <f>SUM(C12:I12)</f>
        <v>0</v>
      </c>
      <c r="C12" s="1829">
        <f>Berechnung!C183</f>
        <v>0</v>
      </c>
      <c r="D12" s="1829">
        <f>Berechnung!D183</f>
        <v>0</v>
      </c>
      <c r="E12" s="1829">
        <f>Berechnung!E183</f>
        <v>0</v>
      </c>
      <c r="F12" s="1829">
        <f>Berechnung!F183</f>
        <v>0</v>
      </c>
      <c r="G12" s="1829">
        <f>Berechnung!G183</f>
        <v>0</v>
      </c>
      <c r="H12" s="1829">
        <f>Berechnung!H183</f>
        <v>0</v>
      </c>
      <c r="I12" s="1829">
        <f>Berechnung!I183</f>
        <v>0</v>
      </c>
    </row>
    <row r="13" spans="1:9" ht="12.75" customHeight="1"/>
    <row r="14" spans="1:9" ht="18">
      <c r="A14" s="1830" t="s">
        <v>2383</v>
      </c>
      <c r="B14" s="1831"/>
      <c r="C14" s="1832"/>
      <c r="D14" s="1832"/>
      <c r="E14" s="1832"/>
      <c r="F14" s="1832"/>
      <c r="G14" s="1832"/>
      <c r="H14" s="1832"/>
      <c r="I14" s="1833"/>
    </row>
    <row r="15" spans="1:9">
      <c r="A15" s="1834"/>
      <c r="B15" s="1821" t="s">
        <v>246</v>
      </c>
      <c r="C15" s="1822" t="str">
        <f>Zusatzeingaben!C4</f>
        <v>Antragsteller</v>
      </c>
      <c r="D15" s="1822" t="str">
        <f>Zusatzeingaben!D4</f>
        <v>Partner(in)</v>
      </c>
      <c r="E15" s="1822" t="str">
        <f>Zusatzeingaben!E4</f>
        <v>Kind 1</v>
      </c>
      <c r="F15" s="1822" t="str">
        <f>Zusatzeingaben!F4</f>
        <v>Kind 2</v>
      </c>
      <c r="G15" s="1822" t="str">
        <f>Zusatzeingaben!G4</f>
        <v>Kind 3</v>
      </c>
      <c r="H15" s="1822" t="str">
        <f>Zusatzeingaben!H4</f>
        <v>Kind 4</v>
      </c>
      <c r="I15" s="1822" t="str">
        <f>Zusatzeingaben!I4</f>
        <v>Kind 5</v>
      </c>
    </row>
    <row r="16" spans="1:9">
      <c r="A16" s="1834" t="s">
        <v>2381</v>
      </c>
      <c r="B16" s="1823">
        <f>SUM(C16:I16)</f>
        <v>409</v>
      </c>
      <c r="C16" s="1824">
        <f>Änderung!C170</f>
        <v>409</v>
      </c>
      <c r="D16" s="1824">
        <f>Änderung!D170</f>
        <v>0</v>
      </c>
      <c r="E16" s="1824">
        <f>Änderung!E170</f>
        <v>0</v>
      </c>
      <c r="F16" s="1824">
        <f>Änderung!F170</f>
        <v>0</v>
      </c>
      <c r="G16" s="1824">
        <f>Änderung!G170</f>
        <v>0</v>
      </c>
      <c r="H16" s="1824">
        <f>Änderung!H170</f>
        <v>0</v>
      </c>
      <c r="I16" s="1824">
        <f>Änderung!I170</f>
        <v>0</v>
      </c>
    </row>
    <row r="17" spans="1:9">
      <c r="A17" s="1834" t="s">
        <v>2176</v>
      </c>
      <c r="B17" s="1823">
        <f>SUM(C17:I17)</f>
        <v>0</v>
      </c>
      <c r="C17" s="1824">
        <f>Änderung!C171</f>
        <v>0</v>
      </c>
      <c r="D17" s="1824">
        <f>Änderung!D171</f>
        <v>0</v>
      </c>
      <c r="E17" s="1824">
        <f>Änderung!E171</f>
        <v>0</v>
      </c>
      <c r="F17" s="1824">
        <f>Änderung!F171</f>
        <v>0</v>
      </c>
      <c r="G17" s="1824">
        <f>Änderung!G171</f>
        <v>0</v>
      </c>
      <c r="H17" s="1824">
        <f>Änderung!H171</f>
        <v>0</v>
      </c>
      <c r="I17" s="1824">
        <f>Änderung!I171</f>
        <v>0</v>
      </c>
    </row>
    <row r="18" spans="1:9">
      <c r="A18" s="1835" t="s">
        <v>2177</v>
      </c>
      <c r="B18" s="1826">
        <f>SUM(C18:I18)</f>
        <v>0</v>
      </c>
      <c r="C18" s="1827">
        <f>Änderung!C172</f>
        <v>0</v>
      </c>
      <c r="D18" s="1827">
        <f>Änderung!D172</f>
        <v>0</v>
      </c>
      <c r="E18" s="1827">
        <f>Änderung!E172</f>
        <v>0</v>
      </c>
      <c r="F18" s="1827">
        <f>Änderung!F172</f>
        <v>0</v>
      </c>
      <c r="G18" s="1827">
        <f>Änderung!G172</f>
        <v>0</v>
      </c>
      <c r="H18" s="1827">
        <f>Änderung!H172</f>
        <v>0</v>
      </c>
      <c r="I18" s="1827">
        <f>Änderung!I172</f>
        <v>0</v>
      </c>
    </row>
    <row r="19" spans="1:9">
      <c r="A19" s="1828" t="s">
        <v>2178</v>
      </c>
      <c r="B19" s="1829">
        <f>SUM(C19:I19)</f>
        <v>409</v>
      </c>
      <c r="C19" s="1829">
        <f>Änderung!C176</f>
        <v>409</v>
      </c>
      <c r="D19" s="1829">
        <f>Änderung!D176</f>
        <v>0</v>
      </c>
      <c r="E19" s="1829">
        <f>Änderung!E176</f>
        <v>0</v>
      </c>
      <c r="F19" s="1829">
        <f>Änderung!F176</f>
        <v>0</v>
      </c>
      <c r="G19" s="1829">
        <f>Änderung!G176</f>
        <v>0</v>
      </c>
      <c r="H19" s="1829">
        <f>Änderung!H176</f>
        <v>0</v>
      </c>
      <c r="I19" s="1829">
        <f>Änderung!I176</f>
        <v>0</v>
      </c>
    </row>
    <row r="20" spans="1:9">
      <c r="A20" s="1834" t="s">
        <v>2179</v>
      </c>
      <c r="B20" s="1823"/>
      <c r="C20" s="1824">
        <f>Änderung!C178</f>
        <v>0</v>
      </c>
      <c r="D20" s="1824">
        <f>Änderung!D178</f>
        <v>0</v>
      </c>
      <c r="E20" s="1824">
        <f>Änderung!E178</f>
        <v>0</v>
      </c>
      <c r="F20" s="1824">
        <f>Änderung!F178</f>
        <v>0</v>
      </c>
      <c r="G20" s="1824">
        <f>Änderung!G178</f>
        <v>0</v>
      </c>
      <c r="H20" s="1824">
        <f>Änderung!H178</f>
        <v>0</v>
      </c>
      <c r="I20" s="1824">
        <f>Änderung!I178</f>
        <v>0</v>
      </c>
    </row>
    <row r="21" spans="1:9">
      <c r="A21" s="1834" t="s">
        <v>2180</v>
      </c>
      <c r="B21" s="1823">
        <f>SUM(C21:I21)</f>
        <v>0</v>
      </c>
      <c r="C21" s="1824">
        <f>Änderung!C180</f>
        <v>0</v>
      </c>
      <c r="D21" s="1824">
        <f>Änderung!D180</f>
        <v>0</v>
      </c>
      <c r="E21" s="1824">
        <f>Änderung!E180</f>
        <v>0</v>
      </c>
      <c r="F21" s="1824">
        <f>Änderung!F180</f>
        <v>0</v>
      </c>
      <c r="G21" s="1824">
        <f>Änderung!G180</f>
        <v>0</v>
      </c>
      <c r="H21" s="1824">
        <f>Änderung!H180</f>
        <v>0</v>
      </c>
      <c r="I21" s="1824">
        <f>Änderung!I180</f>
        <v>0</v>
      </c>
    </row>
    <row r="22" spans="1:9">
      <c r="A22" s="1835" t="s">
        <v>2181</v>
      </c>
      <c r="B22" s="1826">
        <f>SUM(C22:I22)</f>
        <v>0</v>
      </c>
      <c r="C22" s="1827">
        <f>Änderung!C181</f>
        <v>0</v>
      </c>
      <c r="D22" s="1827">
        <f>Änderung!D181</f>
        <v>0</v>
      </c>
      <c r="E22" s="1827">
        <f>Änderung!E181</f>
        <v>0</v>
      </c>
      <c r="F22" s="1827">
        <f>Änderung!F181</f>
        <v>0</v>
      </c>
      <c r="G22" s="1827">
        <f>Änderung!G181</f>
        <v>0</v>
      </c>
      <c r="H22" s="1827">
        <f>Änderung!H181</f>
        <v>0</v>
      </c>
      <c r="I22" s="1827">
        <f>Änderung!I181</f>
        <v>0</v>
      </c>
    </row>
    <row r="23" spans="1:9">
      <c r="A23" s="1828" t="s">
        <v>2382</v>
      </c>
      <c r="B23" s="1829">
        <f>SUM(C23:I23)</f>
        <v>0</v>
      </c>
      <c r="C23" s="1829">
        <f>Änderung!C184</f>
        <v>0</v>
      </c>
      <c r="D23" s="1829">
        <f>Änderung!D184</f>
        <v>0</v>
      </c>
      <c r="E23" s="1829">
        <f>Änderung!E184</f>
        <v>0</v>
      </c>
      <c r="F23" s="1829">
        <f>Änderung!F184</f>
        <v>0</v>
      </c>
      <c r="G23" s="1829">
        <f>Änderung!G184</f>
        <v>0</v>
      </c>
      <c r="H23" s="1829">
        <f>Änderung!H184</f>
        <v>0</v>
      </c>
      <c r="I23" s="1829">
        <f>Änderung!I184</f>
        <v>0</v>
      </c>
    </row>
    <row r="25" spans="1:9" ht="17.25" customHeight="1">
      <c r="A25" s="1836" t="s">
        <v>2384</v>
      </c>
      <c r="B25" s="1831"/>
      <c r="C25" s="1831"/>
      <c r="D25" s="1831"/>
      <c r="E25" s="1831"/>
      <c r="F25" s="1831"/>
      <c r="G25" s="1831"/>
      <c r="H25" s="1831"/>
      <c r="I25" s="1837"/>
    </row>
    <row r="26" spans="1:9">
      <c r="A26" s="1834"/>
      <c r="B26" s="1821" t="s">
        <v>246</v>
      </c>
      <c r="C26" s="1822" t="str">
        <f>Zusatzeingaben!C4</f>
        <v>Antragsteller</v>
      </c>
      <c r="D26" s="1822" t="str">
        <f>Zusatzeingaben!D4</f>
        <v>Partner(in)</v>
      </c>
      <c r="E26" s="1822" t="str">
        <f>Zusatzeingaben!E4</f>
        <v>Kind 1</v>
      </c>
      <c r="F26" s="1822" t="str">
        <f>Zusatzeingaben!F4</f>
        <v>Kind 2</v>
      </c>
      <c r="G26" s="1822" t="str">
        <f>Zusatzeingaben!G4</f>
        <v>Kind 3</v>
      </c>
      <c r="H26" s="1822" t="str">
        <f>Zusatzeingaben!H4</f>
        <v>Kind 4</v>
      </c>
      <c r="I26" s="1822" t="str">
        <f>Zusatzeingaben!I4</f>
        <v>Kind 5</v>
      </c>
    </row>
    <row r="27" spans="1:9">
      <c r="A27" s="1834" t="s">
        <v>2372</v>
      </c>
      <c r="B27" s="1823">
        <f t="shared" ref="B27:B32" si="0">SUM(C27:I27)</f>
        <v>449</v>
      </c>
      <c r="C27" s="1824">
        <f>Änderung!C189</f>
        <v>449</v>
      </c>
      <c r="D27" s="1824">
        <f>Änderung!D189</f>
        <v>0</v>
      </c>
      <c r="E27" s="1824">
        <f>Änderung!E189</f>
        <v>0</v>
      </c>
      <c r="F27" s="1824">
        <f>Änderung!F189</f>
        <v>0</v>
      </c>
      <c r="G27" s="1824">
        <f>Änderung!G189</f>
        <v>0</v>
      </c>
      <c r="H27" s="1824">
        <f>Änderung!H189</f>
        <v>0</v>
      </c>
      <c r="I27" s="1824">
        <f>Änderung!I189</f>
        <v>0</v>
      </c>
    </row>
    <row r="28" spans="1:9">
      <c r="A28" s="1835" t="s">
        <v>2373</v>
      </c>
      <c r="B28" s="1826">
        <f t="shared" si="0"/>
        <v>409</v>
      </c>
      <c r="C28" s="1827">
        <f>Änderung!C190</f>
        <v>409</v>
      </c>
      <c r="D28" s="1827">
        <f>Änderung!D190</f>
        <v>0</v>
      </c>
      <c r="E28" s="1827">
        <f>Änderung!E190</f>
        <v>0</v>
      </c>
      <c r="F28" s="1827">
        <f>Änderung!F190</f>
        <v>0</v>
      </c>
      <c r="G28" s="1827">
        <f>Änderung!G190</f>
        <v>0</v>
      </c>
      <c r="H28" s="1827">
        <f>Änderung!H190</f>
        <v>0</v>
      </c>
      <c r="I28" s="1827">
        <f>Änderung!I190</f>
        <v>0</v>
      </c>
    </row>
    <row r="29" spans="1:9">
      <c r="A29" s="1838" t="s">
        <v>2374</v>
      </c>
      <c r="B29" s="1839">
        <f t="shared" si="0"/>
        <v>40</v>
      </c>
      <c r="C29" s="1839">
        <f>Änderung!C194</f>
        <v>40</v>
      </c>
      <c r="D29" s="1839">
        <f>Änderung!D194</f>
        <v>0</v>
      </c>
      <c r="E29" s="1839">
        <f>Änderung!E194</f>
        <v>0</v>
      </c>
      <c r="F29" s="1839">
        <f>Änderung!F194</f>
        <v>0</v>
      </c>
      <c r="G29" s="1839">
        <f>Änderung!G194</f>
        <v>0</v>
      </c>
      <c r="H29" s="1839">
        <f>Änderung!H194</f>
        <v>0</v>
      </c>
      <c r="I29" s="1839">
        <f>Änderung!I194</f>
        <v>0</v>
      </c>
    </row>
    <row r="30" spans="1:9">
      <c r="A30" s="1834" t="s">
        <v>2375</v>
      </c>
      <c r="B30" s="1823">
        <f t="shared" si="0"/>
        <v>0</v>
      </c>
      <c r="C30" s="1824">
        <f>Änderung!C195</f>
        <v>0</v>
      </c>
      <c r="D30" s="1824">
        <f>Änderung!D195</f>
        <v>0</v>
      </c>
      <c r="E30" s="1824">
        <f>Änderung!E195</f>
        <v>0</v>
      </c>
      <c r="F30" s="1824">
        <f>Änderung!F195</f>
        <v>0</v>
      </c>
      <c r="G30" s="1824">
        <f>Änderung!G195</f>
        <v>0</v>
      </c>
      <c r="H30" s="1824">
        <f>Änderung!H195</f>
        <v>0</v>
      </c>
      <c r="I30" s="1824">
        <f>Änderung!I195</f>
        <v>0</v>
      </c>
    </row>
    <row r="31" spans="1:9">
      <c r="A31" s="1835" t="s">
        <v>2376</v>
      </c>
      <c r="B31" s="1826">
        <f t="shared" si="0"/>
        <v>0</v>
      </c>
      <c r="C31" s="1827">
        <f>Änderung!C196</f>
        <v>0</v>
      </c>
      <c r="D31" s="1827">
        <f>Änderung!D196</f>
        <v>0</v>
      </c>
      <c r="E31" s="1827">
        <f>Änderung!E196</f>
        <v>0</v>
      </c>
      <c r="F31" s="1827">
        <f>Änderung!F196</f>
        <v>0</v>
      </c>
      <c r="G31" s="1827">
        <f>Änderung!G196</f>
        <v>0</v>
      </c>
      <c r="H31" s="1827">
        <f>Änderung!H196</f>
        <v>0</v>
      </c>
      <c r="I31" s="1827">
        <f>Änderung!I196</f>
        <v>0</v>
      </c>
    </row>
    <row r="32" spans="1:9">
      <c r="A32" s="1838" t="s">
        <v>2377</v>
      </c>
      <c r="B32" s="1839">
        <f t="shared" si="0"/>
        <v>0</v>
      </c>
      <c r="C32" s="1839">
        <f>Änderung!C199</f>
        <v>0</v>
      </c>
      <c r="D32" s="1839">
        <f>Änderung!D199</f>
        <v>0</v>
      </c>
      <c r="E32" s="1839">
        <f>Änderung!E199</f>
        <v>0</v>
      </c>
      <c r="F32" s="1839">
        <f>Änderung!F199</f>
        <v>0</v>
      </c>
      <c r="G32" s="1839">
        <f>Änderung!G199</f>
        <v>0</v>
      </c>
      <c r="H32" s="1839">
        <f>Änderung!H199</f>
        <v>0</v>
      </c>
      <c r="I32" s="1839">
        <f>Änderung!I199</f>
        <v>0</v>
      </c>
    </row>
    <row r="33" spans="1:9">
      <c r="A33" s="1840"/>
      <c r="B33" s="1841"/>
      <c r="C33" s="1840"/>
      <c r="D33" s="1840"/>
      <c r="E33" s="1840"/>
      <c r="F33" s="1840"/>
      <c r="G33" s="1840"/>
      <c r="H33" s="1840"/>
      <c r="I33" s="1840"/>
    </row>
  </sheetData>
  <sheetProtection sheet="1" objects="1" scenarios="1"/>
  <pageMargins left="0.98402777777777795" right="0.98402777777777795" top="1.1812499999999999" bottom="0.39374999999999999" header="0.51180555555555496" footer="0.51180555555555496"/>
  <pageSetup paperSize="9" firstPageNumber="0" orientation="landscape" horizontalDpi="300" verticalDpi="300"/>
</worksheet>
</file>

<file path=xl/worksheets/sheet15.xml><?xml version="1.0" encoding="utf-8"?>
<worksheet xmlns="http://schemas.openxmlformats.org/spreadsheetml/2006/main" xmlns:r="http://schemas.openxmlformats.org/officeDocument/2006/relationships">
  <dimension ref="A3:BL187"/>
  <sheetViews>
    <sheetView showGridLines="0" zoomScaleNormal="100" workbookViewId="0">
      <selection activeCell="H51" sqref="H51"/>
    </sheetView>
  </sheetViews>
  <sheetFormatPr baseColWidth="10" defaultColWidth="11.5703125" defaultRowHeight="14.25"/>
  <cols>
    <col min="1" max="1" width="11.42578125" style="1842" customWidth="1"/>
    <col min="2" max="2" width="28.7109375" style="1842" customWidth="1"/>
    <col min="3" max="3" width="27.85546875" style="1842" customWidth="1"/>
    <col min="4" max="4" width="12.42578125" style="1842" customWidth="1"/>
    <col min="5" max="5" width="15.5703125" style="1842" customWidth="1"/>
    <col min="6" max="6" width="11.5703125" style="1842"/>
    <col min="7" max="7" width="11.42578125" style="1842" customWidth="1"/>
    <col min="8" max="8" width="12.7109375" style="1842" customWidth="1"/>
    <col min="9" max="9" width="11.5703125" style="1842"/>
    <col min="10" max="64" width="11.42578125" style="1842" customWidth="1"/>
  </cols>
  <sheetData>
    <row r="3" spans="2:9" ht="18">
      <c r="B3" s="1843" t="s">
        <v>232</v>
      </c>
    </row>
    <row r="5" spans="2:9" ht="20.100000000000001" customHeight="1">
      <c r="B5" s="1844" t="s">
        <v>2385</v>
      </c>
      <c r="C5" s="1844"/>
      <c r="D5" s="1844"/>
      <c r="E5" s="1844" t="s">
        <v>2260</v>
      </c>
      <c r="F5" s="1844"/>
      <c r="G5" s="1844"/>
      <c r="H5" s="1844" t="s">
        <v>2386</v>
      </c>
      <c r="I5" s="1591"/>
    </row>
    <row r="7" spans="2:9" ht="18" customHeight="1">
      <c r="B7" s="1845">
        <v>38353</v>
      </c>
      <c r="C7" s="1846">
        <v>345</v>
      </c>
      <c r="D7" s="1591"/>
      <c r="E7" s="1845">
        <v>38353</v>
      </c>
      <c r="F7" s="1846">
        <v>311</v>
      </c>
      <c r="G7" s="1591"/>
      <c r="H7" s="1845">
        <v>38353</v>
      </c>
      <c r="I7" s="1846">
        <v>276</v>
      </c>
    </row>
    <row r="8" spans="2:9" ht="18" customHeight="1">
      <c r="B8" s="1845">
        <v>39264</v>
      </c>
      <c r="C8" s="1846">
        <v>347</v>
      </c>
      <c r="D8" s="1591"/>
      <c r="E8" s="1845">
        <v>39264</v>
      </c>
      <c r="F8" s="1846">
        <v>312</v>
      </c>
      <c r="G8" s="1591"/>
      <c r="H8" s="1845">
        <v>39264</v>
      </c>
      <c r="I8" s="1846">
        <v>278</v>
      </c>
    </row>
    <row r="9" spans="2:9" ht="18" customHeight="1">
      <c r="B9" s="1845">
        <v>39630</v>
      </c>
      <c r="C9" s="1846">
        <v>351</v>
      </c>
      <c r="D9" s="1591"/>
      <c r="E9" s="1845">
        <v>39630</v>
      </c>
      <c r="F9" s="1846">
        <v>316</v>
      </c>
      <c r="G9" s="1591"/>
      <c r="H9" s="1845">
        <v>39630</v>
      </c>
      <c r="I9" s="1846">
        <v>281</v>
      </c>
    </row>
    <row r="10" spans="2:9" ht="18" customHeight="1">
      <c r="B10" s="1845">
        <v>39995</v>
      </c>
      <c r="C10" s="1846">
        <v>359</v>
      </c>
      <c r="D10" s="1591"/>
      <c r="E10" s="1845">
        <v>39995</v>
      </c>
      <c r="F10" s="1846">
        <v>323</v>
      </c>
      <c r="G10" s="1591"/>
      <c r="H10" s="1845">
        <v>39995</v>
      </c>
      <c r="I10" s="1846">
        <v>287</v>
      </c>
    </row>
    <row r="11" spans="2:9" ht="18" customHeight="1">
      <c r="B11" s="1845">
        <v>40544</v>
      </c>
      <c r="C11" s="1846">
        <v>364</v>
      </c>
      <c r="D11" s="1591"/>
      <c r="E11" s="1845">
        <v>40544</v>
      </c>
      <c r="F11" s="1846">
        <v>328</v>
      </c>
      <c r="G11" s="1591"/>
      <c r="H11" s="1845">
        <v>40544</v>
      </c>
      <c r="I11" s="1846">
        <v>291</v>
      </c>
    </row>
    <row r="12" spans="2:9" ht="18" customHeight="1">
      <c r="B12" s="1845">
        <v>40909</v>
      </c>
      <c r="C12" s="1846">
        <v>374</v>
      </c>
      <c r="D12" s="1591"/>
      <c r="E12" s="1845">
        <v>40909</v>
      </c>
      <c r="F12" s="1846">
        <v>337</v>
      </c>
      <c r="G12" s="1591"/>
      <c r="H12" s="1845">
        <v>40909</v>
      </c>
      <c r="I12" s="1846">
        <v>299</v>
      </c>
    </row>
    <row r="13" spans="2:9" ht="18" customHeight="1">
      <c r="B13" s="1845">
        <v>41275</v>
      </c>
      <c r="C13" s="1846">
        <v>382</v>
      </c>
      <c r="D13" s="1846"/>
      <c r="E13" s="1845">
        <v>41275</v>
      </c>
      <c r="F13" s="1846">
        <v>345</v>
      </c>
      <c r="G13" s="1846"/>
      <c r="H13" s="1845">
        <v>41275</v>
      </c>
      <c r="I13" s="1846">
        <v>306</v>
      </c>
    </row>
    <row r="14" spans="2:9" ht="18" customHeight="1">
      <c r="B14" s="1845">
        <v>41640</v>
      </c>
      <c r="C14" s="1846">
        <v>391</v>
      </c>
      <c r="D14" s="1846"/>
      <c r="E14" s="1845">
        <v>41640</v>
      </c>
      <c r="F14" s="1846">
        <v>353</v>
      </c>
      <c r="G14" s="1846"/>
      <c r="H14" s="1845">
        <v>41640</v>
      </c>
      <c r="I14" s="1846">
        <v>313</v>
      </c>
    </row>
    <row r="15" spans="2:9" ht="18" customHeight="1">
      <c r="B15" s="1845">
        <v>42005</v>
      </c>
      <c r="C15" s="1846">
        <v>399</v>
      </c>
      <c r="D15" s="1846"/>
      <c r="E15" s="1845">
        <v>42005</v>
      </c>
      <c r="F15" s="1846">
        <v>360</v>
      </c>
      <c r="G15" s="1846"/>
      <c r="H15" s="1845">
        <v>42005</v>
      </c>
      <c r="I15" s="1846">
        <v>320</v>
      </c>
    </row>
    <row r="16" spans="2:9" ht="18" customHeight="1">
      <c r="B16" s="1845">
        <v>42370</v>
      </c>
      <c r="C16" s="1846">
        <v>404</v>
      </c>
      <c r="D16" s="1846"/>
      <c r="E16" s="1845">
        <v>42370</v>
      </c>
      <c r="F16" s="1846">
        <v>364</v>
      </c>
      <c r="G16" s="1846"/>
      <c r="H16" s="1845">
        <v>42370</v>
      </c>
      <c r="I16" s="1846">
        <v>324</v>
      </c>
    </row>
    <row r="17" spans="2:9" ht="18" customHeight="1">
      <c r="B17" s="1847">
        <v>42736</v>
      </c>
      <c r="C17" s="1848">
        <v>409</v>
      </c>
      <c r="D17" s="1848"/>
      <c r="E17" s="1847">
        <v>42736</v>
      </c>
      <c r="F17" s="1848">
        <v>368</v>
      </c>
      <c r="G17" s="1848"/>
      <c r="H17" s="1847">
        <v>42736</v>
      </c>
      <c r="I17" s="1848">
        <v>327</v>
      </c>
    </row>
    <row r="18" spans="2:9" ht="18" customHeight="1">
      <c r="B18" s="1849">
        <v>43101</v>
      </c>
      <c r="C18" s="1848">
        <v>416</v>
      </c>
      <c r="D18" s="1848"/>
      <c r="E18" s="1849">
        <v>43101</v>
      </c>
      <c r="F18" s="1848">
        <v>374</v>
      </c>
      <c r="G18" s="1848"/>
      <c r="H18" s="1849">
        <v>43101</v>
      </c>
      <c r="I18" s="1848">
        <v>332</v>
      </c>
    </row>
    <row r="19" spans="2:9" ht="18" customHeight="1">
      <c r="B19" s="1849">
        <v>43466</v>
      </c>
      <c r="C19" s="1848">
        <v>424</v>
      </c>
      <c r="D19" s="1848"/>
      <c r="E19" s="1849">
        <v>43466</v>
      </c>
      <c r="F19" s="1848">
        <v>382</v>
      </c>
      <c r="G19" s="1848"/>
      <c r="H19" s="1849">
        <v>43466</v>
      </c>
      <c r="I19" s="1848">
        <v>339</v>
      </c>
    </row>
    <row r="20" spans="2:9" ht="18" customHeight="1">
      <c r="B20" s="1849">
        <v>43831</v>
      </c>
      <c r="C20" s="1848">
        <v>432</v>
      </c>
      <c r="D20" s="1848"/>
      <c r="E20" s="1849">
        <v>43831</v>
      </c>
      <c r="F20" s="1848">
        <v>389</v>
      </c>
      <c r="G20" s="1848"/>
      <c r="H20" s="1849">
        <v>43831</v>
      </c>
      <c r="I20" s="1848">
        <v>345</v>
      </c>
    </row>
    <row r="21" spans="2:9" ht="18" customHeight="1">
      <c r="B21" s="1849">
        <v>44197</v>
      </c>
      <c r="C21" s="1848">
        <v>446</v>
      </c>
      <c r="D21" s="1848"/>
      <c r="E21" s="1849">
        <v>44197</v>
      </c>
      <c r="F21" s="1848">
        <v>401</v>
      </c>
      <c r="G21" s="1848"/>
      <c r="H21" s="1849">
        <v>44197</v>
      </c>
      <c r="I21" s="1848">
        <v>357</v>
      </c>
    </row>
    <row r="22" spans="2:9" ht="18" customHeight="1">
      <c r="B22" s="1849">
        <v>44562</v>
      </c>
      <c r="C22" s="1848">
        <v>449</v>
      </c>
      <c r="D22" s="1848"/>
      <c r="E22" s="1849">
        <v>44562</v>
      </c>
      <c r="F22" s="1848">
        <v>404</v>
      </c>
      <c r="G22" s="1848"/>
      <c r="H22" s="1849">
        <v>44562</v>
      </c>
      <c r="I22" s="1848">
        <v>360</v>
      </c>
    </row>
    <row r="23" spans="2:9" ht="18" customHeight="1"/>
    <row r="24" spans="2:9" ht="20.100000000000001" customHeight="1">
      <c r="B24" s="1844" t="s">
        <v>2387</v>
      </c>
      <c r="C24" s="1844"/>
      <c r="D24" s="1844"/>
      <c r="E24" s="1844" t="s">
        <v>2388</v>
      </c>
      <c r="F24" s="1844"/>
      <c r="G24" s="1844"/>
      <c r="H24" s="1844" t="s">
        <v>2389</v>
      </c>
      <c r="I24" s="1844"/>
    </row>
    <row r="25" spans="2:9">
      <c r="F25" s="1851"/>
    </row>
    <row r="26" spans="2:9" ht="18" customHeight="1">
      <c r="B26" s="1845">
        <v>38353</v>
      </c>
      <c r="C26" s="1846">
        <v>276</v>
      </c>
      <c r="D26" s="1591"/>
      <c r="E26" s="1845">
        <v>38353</v>
      </c>
      <c r="F26" s="1846">
        <v>207</v>
      </c>
      <c r="G26" s="1591"/>
      <c r="H26" s="1845">
        <v>38353</v>
      </c>
      <c r="I26" s="1846">
        <v>207</v>
      </c>
    </row>
    <row r="27" spans="2:9" ht="18" customHeight="1">
      <c r="B27" s="1845">
        <v>39264</v>
      </c>
      <c r="C27" s="1846">
        <v>278</v>
      </c>
      <c r="D27" s="1591"/>
      <c r="E27" s="1845">
        <v>39264</v>
      </c>
      <c r="F27" s="1846">
        <v>208</v>
      </c>
      <c r="G27" s="1591"/>
      <c r="H27" s="1845">
        <v>39264</v>
      </c>
      <c r="I27" s="1846">
        <v>208</v>
      </c>
    </row>
    <row r="28" spans="2:9" ht="18" customHeight="1">
      <c r="B28" s="1845">
        <v>39630</v>
      </c>
      <c r="C28" s="1846">
        <v>281</v>
      </c>
      <c r="D28" s="1591"/>
      <c r="E28" s="1845">
        <v>39630</v>
      </c>
      <c r="F28" s="1846">
        <v>211</v>
      </c>
      <c r="G28" s="1591"/>
      <c r="H28" s="1845">
        <v>39630</v>
      </c>
      <c r="I28" s="1846">
        <v>211</v>
      </c>
    </row>
    <row r="29" spans="2:9" ht="18" customHeight="1">
      <c r="B29" s="1845">
        <v>39995</v>
      </c>
      <c r="C29" s="1846">
        <v>287</v>
      </c>
      <c r="D29" s="1591"/>
      <c r="E29" s="1845">
        <v>39995</v>
      </c>
      <c r="F29" s="1846">
        <v>251</v>
      </c>
      <c r="G29" s="1591"/>
      <c r="H29" s="1845">
        <v>39995</v>
      </c>
      <c r="I29" s="1846">
        <v>215</v>
      </c>
    </row>
    <row r="30" spans="2:9" ht="18" customHeight="1">
      <c r="B30" s="1845">
        <v>40544</v>
      </c>
      <c r="C30" s="1846">
        <v>287</v>
      </c>
      <c r="D30" s="1591"/>
      <c r="E30" s="1845">
        <v>40544</v>
      </c>
      <c r="F30" s="1846">
        <v>251</v>
      </c>
      <c r="G30" s="1591"/>
      <c r="H30" s="1845">
        <v>40544</v>
      </c>
      <c r="I30" s="1846">
        <v>215</v>
      </c>
    </row>
    <row r="31" spans="2:9" ht="18" customHeight="1">
      <c r="B31" s="1845">
        <v>40909</v>
      </c>
      <c r="C31" s="1846">
        <v>287</v>
      </c>
      <c r="D31" s="1846"/>
      <c r="E31" s="1845">
        <v>40909</v>
      </c>
      <c r="F31" s="1846">
        <v>251</v>
      </c>
      <c r="G31" s="1846"/>
      <c r="H31" s="1845">
        <v>40909</v>
      </c>
      <c r="I31" s="1846">
        <v>219</v>
      </c>
    </row>
    <row r="32" spans="2:9" ht="18" customHeight="1">
      <c r="B32" s="1845">
        <v>41275</v>
      </c>
      <c r="C32" s="1846">
        <v>289</v>
      </c>
      <c r="D32" s="1846"/>
      <c r="E32" s="1845">
        <v>41275</v>
      </c>
      <c r="F32" s="1846">
        <v>255</v>
      </c>
      <c r="G32" s="1846"/>
      <c r="H32" s="1845">
        <v>41275</v>
      </c>
      <c r="I32" s="1846">
        <v>224</v>
      </c>
    </row>
    <row r="33" spans="2:9" ht="18" customHeight="1">
      <c r="B33" s="1845">
        <v>41640</v>
      </c>
      <c r="C33" s="1846">
        <v>296</v>
      </c>
      <c r="D33" s="1846"/>
      <c r="E33" s="1845">
        <v>41640</v>
      </c>
      <c r="F33" s="1846">
        <v>261</v>
      </c>
      <c r="G33" s="1846"/>
      <c r="H33" s="1845">
        <v>41640</v>
      </c>
      <c r="I33" s="1846">
        <v>229</v>
      </c>
    </row>
    <row r="34" spans="2:9" ht="18" customHeight="1">
      <c r="B34" s="1845">
        <v>42005</v>
      </c>
      <c r="C34" s="1846">
        <v>302</v>
      </c>
      <c r="D34" s="1846"/>
      <c r="E34" s="1845">
        <v>42005</v>
      </c>
      <c r="F34" s="1846">
        <v>267</v>
      </c>
      <c r="G34" s="1846"/>
      <c r="H34" s="1845">
        <v>42005</v>
      </c>
      <c r="I34" s="1846">
        <v>234</v>
      </c>
    </row>
    <row r="35" spans="2:9" ht="18" customHeight="1">
      <c r="B35" s="1845">
        <v>42370</v>
      </c>
      <c r="C35" s="1846">
        <v>306</v>
      </c>
      <c r="D35" s="1846"/>
      <c r="E35" s="1845">
        <v>42370</v>
      </c>
      <c r="F35" s="1846">
        <v>270</v>
      </c>
      <c r="G35" s="1846"/>
      <c r="H35" s="1845">
        <v>42370</v>
      </c>
      <c r="I35" s="1846">
        <v>237</v>
      </c>
    </row>
    <row r="36" spans="2:9" ht="18" customHeight="1">
      <c r="B36" s="1847">
        <v>42736</v>
      </c>
      <c r="C36" s="1848">
        <v>311</v>
      </c>
      <c r="D36" s="1848"/>
      <c r="E36" s="1847">
        <v>42736</v>
      </c>
      <c r="F36" s="1848">
        <v>291</v>
      </c>
      <c r="G36" s="1848"/>
      <c r="H36" s="1847">
        <v>42736</v>
      </c>
      <c r="I36" s="1848">
        <v>237</v>
      </c>
    </row>
    <row r="37" spans="2:9" ht="18" customHeight="1">
      <c r="B37" s="1849">
        <v>43101</v>
      </c>
      <c r="C37" s="1848">
        <v>316</v>
      </c>
      <c r="D37" s="1848"/>
      <c r="E37" s="1849">
        <v>43101</v>
      </c>
      <c r="F37" s="1848">
        <v>296</v>
      </c>
      <c r="G37" s="1848"/>
      <c r="H37" s="1849">
        <v>43101</v>
      </c>
      <c r="I37" s="1848">
        <v>240</v>
      </c>
    </row>
    <row r="38" spans="2:9" ht="18" customHeight="1">
      <c r="B38" s="1849">
        <v>43466</v>
      </c>
      <c r="C38" s="1848">
        <v>322</v>
      </c>
      <c r="D38" s="1848"/>
      <c r="E38" s="1849">
        <v>43466</v>
      </c>
      <c r="F38" s="1848">
        <v>302</v>
      </c>
      <c r="G38" s="1848"/>
      <c r="H38" s="1849">
        <v>43466</v>
      </c>
      <c r="I38" s="1848">
        <v>245</v>
      </c>
    </row>
    <row r="39" spans="2:9" ht="18" customHeight="1">
      <c r="B39" s="1849">
        <v>43831</v>
      </c>
      <c r="C39" s="1848">
        <v>328</v>
      </c>
      <c r="D39" s="1848"/>
      <c r="E39" s="1849">
        <v>43831</v>
      </c>
      <c r="F39" s="1848">
        <v>308</v>
      </c>
      <c r="G39" s="1848"/>
      <c r="H39" s="1849">
        <v>43831</v>
      </c>
      <c r="I39" s="1848">
        <v>250</v>
      </c>
    </row>
    <row r="40" spans="2:9" ht="18" customHeight="1">
      <c r="B40" s="1849">
        <v>44197</v>
      </c>
      <c r="C40" s="1848">
        <v>373</v>
      </c>
      <c r="D40" s="1848"/>
      <c r="E40" s="1849">
        <v>44197</v>
      </c>
      <c r="F40" s="1848">
        <v>309</v>
      </c>
      <c r="G40" s="1848"/>
      <c r="H40" s="1849">
        <v>44197</v>
      </c>
      <c r="I40" s="1848">
        <v>283</v>
      </c>
    </row>
    <row r="41" spans="2:9" ht="15.75">
      <c r="B41" s="1849">
        <v>44562</v>
      </c>
      <c r="C41" s="1848">
        <v>376</v>
      </c>
      <c r="D41" s="1848"/>
      <c r="E41" s="1849">
        <v>44562</v>
      </c>
      <c r="F41" s="1848">
        <v>311</v>
      </c>
      <c r="G41" s="1848"/>
      <c r="H41" s="1849">
        <v>44562</v>
      </c>
      <c r="I41" s="1848">
        <v>285</v>
      </c>
    </row>
    <row r="42" spans="2:9">
      <c r="B42" s="1850"/>
      <c r="C42" s="1851"/>
      <c r="D42" s="1851"/>
      <c r="E42" s="1850"/>
      <c r="F42" s="1851"/>
      <c r="G42" s="1851"/>
      <c r="H42" s="1850"/>
      <c r="I42" s="1851"/>
    </row>
    <row r="43" spans="2:9" ht="18">
      <c r="B43" s="1852" t="s">
        <v>2390</v>
      </c>
      <c r="C43" s="1853"/>
      <c r="D43" s="1851"/>
      <c r="E43" s="1850"/>
      <c r="F43" s="1851"/>
      <c r="G43" s="1851"/>
      <c r="H43" s="1850"/>
      <c r="I43" s="1851"/>
    </row>
    <row r="44" spans="2:9">
      <c r="B44" s="1850"/>
      <c r="C44" s="1851"/>
      <c r="D44" s="1851"/>
      <c r="E44" s="1850"/>
      <c r="F44" s="1851"/>
      <c r="G44" s="1851"/>
      <c r="H44" s="1850"/>
      <c r="I44" s="1851"/>
    </row>
    <row r="45" spans="2:9" ht="25.5">
      <c r="B45" s="1903" t="s">
        <v>2391</v>
      </c>
      <c r="C45" s="1906" t="s">
        <v>2445</v>
      </c>
      <c r="D45" s="1903" t="s">
        <v>2446</v>
      </c>
      <c r="E45" s="1903"/>
      <c r="F45" s="1851"/>
      <c r="G45" s="1851"/>
      <c r="H45" s="1850"/>
      <c r="I45" s="1851"/>
    </row>
    <row r="46" spans="2:9">
      <c r="B46" s="1903" t="s">
        <v>2447</v>
      </c>
      <c r="C46" s="1901">
        <v>30</v>
      </c>
      <c r="D46" s="1999">
        <f>Zusatzeingaben!$C$233*C46/100</f>
        <v>134.69999999999999</v>
      </c>
      <c r="E46" s="2000"/>
      <c r="F46" s="1851"/>
      <c r="G46" s="1851"/>
      <c r="H46" s="1850"/>
      <c r="I46" s="1851"/>
    </row>
    <row r="47" spans="2:9">
      <c r="B47" s="1903" t="s">
        <v>2448</v>
      </c>
      <c r="C47" s="1901">
        <v>20</v>
      </c>
      <c r="D47" s="1999">
        <f>Zusatzeingaben!$C$233*C47/100</f>
        <v>89.8</v>
      </c>
      <c r="E47" s="2000"/>
      <c r="F47" s="1851"/>
      <c r="G47" s="1851"/>
      <c r="H47" s="1850"/>
      <c r="I47" s="1851"/>
    </row>
    <row r="48" spans="2:9">
      <c r="B48" s="1903" t="s">
        <v>2449</v>
      </c>
      <c r="C48" s="1901">
        <v>5</v>
      </c>
      <c r="D48" s="1999">
        <f>Zusatzeingaben!$C$233*C48/100</f>
        <v>22.45</v>
      </c>
      <c r="E48" s="2000"/>
      <c r="F48" s="1851"/>
      <c r="G48" s="1851"/>
      <c r="H48" s="1850"/>
      <c r="I48" s="1851"/>
    </row>
    <row r="49" spans="2:9">
      <c r="B49" s="1903"/>
      <c r="C49" s="1903"/>
      <c r="D49" s="2003"/>
      <c r="E49" s="2004"/>
      <c r="F49" s="1851"/>
      <c r="G49" s="1851"/>
      <c r="H49" s="1850"/>
      <c r="I49" s="1851"/>
    </row>
    <row r="50" spans="2:9" ht="63.75">
      <c r="B50" s="1904" t="s">
        <v>2450</v>
      </c>
      <c r="C50" s="1903" t="s">
        <v>2451</v>
      </c>
      <c r="D50" s="1903"/>
      <c r="E50" s="1903"/>
      <c r="F50" s="1851"/>
      <c r="G50" s="1851"/>
      <c r="H50" s="1850"/>
      <c r="I50" s="1851"/>
    </row>
    <row r="51" spans="2:9" ht="140.25">
      <c r="B51" s="1904" t="s">
        <v>2452</v>
      </c>
      <c r="C51" s="1905">
        <v>10</v>
      </c>
      <c r="D51" s="2001">
        <f>Zusatzeingaben!$C$233*C51/100</f>
        <v>44.9</v>
      </c>
      <c r="E51" s="2002"/>
      <c r="F51" s="1851"/>
      <c r="G51" s="1851"/>
      <c r="H51" s="1850"/>
      <c r="I51" s="1851"/>
    </row>
    <row r="52" spans="2:9">
      <c r="B52" s="1903" t="s">
        <v>2393</v>
      </c>
      <c r="C52" s="1903" t="s">
        <v>2392</v>
      </c>
      <c r="D52" s="1903"/>
      <c r="E52" s="1903"/>
      <c r="F52" s="1851"/>
      <c r="G52" s="1851"/>
      <c r="H52" s="1850"/>
      <c r="I52" s="1851"/>
    </row>
    <row r="53" spans="2:9">
      <c r="B53" s="1903" t="s">
        <v>2394</v>
      </c>
      <c r="C53" s="1903" t="s">
        <v>2392</v>
      </c>
      <c r="D53" s="1903"/>
      <c r="E53" s="1903"/>
      <c r="F53" s="1851"/>
      <c r="G53" s="1851"/>
      <c r="H53" s="1850"/>
      <c r="I53" s="1851"/>
    </row>
    <row r="54" spans="2:9">
      <c r="B54" s="1903" t="s">
        <v>2395</v>
      </c>
      <c r="C54" s="1903" t="s">
        <v>2396</v>
      </c>
      <c r="D54" s="1903"/>
      <c r="E54" s="1903"/>
      <c r="F54" s="1851"/>
      <c r="G54" s="1851"/>
      <c r="H54" s="1850"/>
      <c r="I54" s="1851"/>
    </row>
    <row r="55" spans="2:9">
      <c r="B55"/>
      <c r="C55"/>
      <c r="D55"/>
      <c r="E55"/>
      <c r="F55" s="1851"/>
      <c r="G55" s="1851"/>
      <c r="H55" s="1850"/>
      <c r="I55" s="1851"/>
    </row>
    <row r="56" spans="2:9">
      <c r="B56"/>
      <c r="C56"/>
      <c r="D56"/>
      <c r="E56"/>
      <c r="F56" s="1851"/>
      <c r="G56" s="1851"/>
      <c r="H56" s="1850"/>
      <c r="I56" s="1851"/>
    </row>
    <row r="57" spans="2:9">
      <c r="B57" t="s">
        <v>2397</v>
      </c>
      <c r="C57"/>
      <c r="D57"/>
      <c r="E57"/>
      <c r="F57" s="1851"/>
      <c r="G57" s="1851"/>
      <c r="H57" s="1850"/>
      <c r="I57" s="1851"/>
    </row>
    <row r="58" spans="2:9" ht="33" customHeight="1">
      <c r="B58"/>
      <c r="C58"/>
      <c r="D58"/>
      <c r="E58"/>
      <c r="F58" s="1851"/>
      <c r="G58" s="1851"/>
      <c r="H58" s="1850"/>
      <c r="I58" s="1851"/>
    </row>
    <row r="59" spans="2:9">
      <c r="B59" t="s">
        <v>2398</v>
      </c>
      <c r="C59"/>
      <c r="D59"/>
      <c r="E59"/>
      <c r="F59" s="1851"/>
      <c r="G59" s="1851"/>
      <c r="H59" s="1850"/>
      <c r="I59" s="1851"/>
    </row>
    <row r="60" spans="2:9">
      <c r="B60" t="s">
        <v>2399</v>
      </c>
      <c r="C60"/>
      <c r="D60"/>
      <c r="E60"/>
      <c r="F60" s="1851"/>
      <c r="G60" s="1851"/>
      <c r="H60" s="1850"/>
      <c r="I60" s="1851"/>
    </row>
    <row r="61" spans="2:9">
      <c r="B61"/>
      <c r="C61"/>
      <c r="D61"/>
      <c r="E61"/>
      <c r="F61" s="1851"/>
      <c r="G61" s="1851"/>
      <c r="H61" s="1850"/>
      <c r="I61" s="1851"/>
    </row>
    <row r="62" spans="2:9">
      <c r="B62"/>
      <c r="C62"/>
      <c r="D62"/>
      <c r="E62"/>
      <c r="F62" s="1851"/>
      <c r="G62" s="1851"/>
      <c r="H62" s="1850"/>
      <c r="I62" s="1851"/>
    </row>
    <row r="63" spans="2:9">
      <c r="B63"/>
      <c r="C63"/>
      <c r="D63"/>
      <c r="E63"/>
      <c r="F63" s="1851"/>
      <c r="G63" s="1851"/>
      <c r="H63" s="1850"/>
      <c r="I63" s="1851"/>
    </row>
    <row r="64" spans="2:9">
      <c r="B64"/>
      <c r="C64"/>
      <c r="D64"/>
      <c r="E64"/>
      <c r="F64" s="1851"/>
      <c r="G64" s="1851"/>
      <c r="H64" s="1850"/>
      <c r="I64" s="1851"/>
    </row>
    <row r="65" spans="2:9">
      <c r="B65" s="1850"/>
      <c r="C65" s="1851"/>
      <c r="D65" s="1851"/>
      <c r="E65" s="1850"/>
      <c r="F65" s="1851"/>
      <c r="G65" s="1851"/>
      <c r="H65" s="1850"/>
      <c r="I65" s="1851"/>
    </row>
    <row r="66" spans="2:9" ht="18">
      <c r="B66" s="1854" t="s">
        <v>2194</v>
      </c>
      <c r="C66" s="1851"/>
      <c r="D66" s="1851"/>
      <c r="E66" s="1850"/>
      <c r="F66" s="1851"/>
      <c r="G66" s="1851"/>
      <c r="H66" s="1850"/>
      <c r="I66" s="1851"/>
    </row>
    <row r="67" spans="2:9">
      <c r="B67" s="1850"/>
      <c r="C67" s="1851"/>
      <c r="E67" s="1850"/>
      <c r="F67" s="1851"/>
      <c r="H67" s="1850"/>
    </row>
    <row r="68" spans="2:9" ht="15" hidden="1">
      <c r="B68" s="1855" t="s">
        <v>2400</v>
      </c>
      <c r="E68" s="1850"/>
      <c r="F68" s="1851"/>
      <c r="H68" s="1850"/>
    </row>
    <row r="69" spans="2:9" hidden="1">
      <c r="H69" s="1850"/>
    </row>
    <row r="70" spans="2:9" hidden="1">
      <c r="B70" s="1851">
        <v>224</v>
      </c>
      <c r="C70" s="1851">
        <v>5.54</v>
      </c>
      <c r="E70" s="1851"/>
      <c r="F70" s="1851"/>
      <c r="H70" s="1850"/>
    </row>
    <row r="71" spans="2:9" hidden="1">
      <c r="B71" s="1851">
        <v>229</v>
      </c>
      <c r="C71" s="1851">
        <v>5.66</v>
      </c>
      <c r="E71" s="1851"/>
      <c r="F71" s="1851"/>
    </row>
    <row r="72" spans="2:9" hidden="1">
      <c r="B72" s="1851">
        <v>234</v>
      </c>
      <c r="C72" s="1851">
        <v>5.78</v>
      </c>
      <c r="E72" s="1851"/>
      <c r="F72" s="1851"/>
    </row>
    <row r="73" spans="2:9" hidden="1">
      <c r="B73" s="1851">
        <v>255</v>
      </c>
      <c r="C73" s="1851">
        <v>10.33</v>
      </c>
      <c r="E73" s="1851"/>
      <c r="F73" s="1851"/>
    </row>
    <row r="74" spans="2:9" hidden="1">
      <c r="B74" s="1851">
        <v>261</v>
      </c>
      <c r="C74" s="1851">
        <v>10.58</v>
      </c>
      <c r="E74" s="1851"/>
      <c r="F74" s="1851"/>
    </row>
    <row r="75" spans="2:9" hidden="1">
      <c r="B75" s="1851">
        <v>267</v>
      </c>
      <c r="C75" s="1851">
        <v>10.82</v>
      </c>
      <c r="E75" s="1851"/>
      <c r="F75" s="1851"/>
    </row>
    <row r="76" spans="2:9" hidden="1">
      <c r="B76" s="1851">
        <v>289</v>
      </c>
      <c r="C76" s="1851">
        <v>13.31</v>
      </c>
      <c r="E76" s="1851"/>
      <c r="F76" s="1851"/>
    </row>
    <row r="77" spans="2:9" hidden="1">
      <c r="B77" s="1851">
        <v>296</v>
      </c>
      <c r="C77" s="1851">
        <v>13.63</v>
      </c>
      <c r="E77" s="1851"/>
      <c r="F77" s="1851"/>
    </row>
    <row r="78" spans="2:9" hidden="1">
      <c r="B78" s="1851">
        <v>302</v>
      </c>
      <c r="C78" s="1851">
        <v>13.9</v>
      </c>
      <c r="E78" s="1851"/>
      <c r="F78" s="1851"/>
    </row>
    <row r="79" spans="2:9" hidden="1">
      <c r="B79" s="1851">
        <v>306</v>
      </c>
      <c r="C79" s="1851">
        <v>23.61</v>
      </c>
      <c r="E79" s="1851"/>
      <c r="F79" s="1851"/>
    </row>
    <row r="80" spans="2:9" hidden="1">
      <c r="B80" s="1851">
        <v>313</v>
      </c>
      <c r="C80" s="1851">
        <v>24.32</v>
      </c>
      <c r="E80" s="1851"/>
      <c r="F80" s="1851"/>
    </row>
    <row r="81" spans="2:9" hidden="1">
      <c r="B81" s="1851">
        <v>320</v>
      </c>
      <c r="C81" s="1851">
        <v>24.81</v>
      </c>
      <c r="E81" s="1851"/>
      <c r="F81" s="1851"/>
    </row>
    <row r="82" spans="2:9" hidden="1">
      <c r="B82" s="1851">
        <v>345</v>
      </c>
      <c r="C82" s="1851">
        <v>26.56</v>
      </c>
      <c r="E82" s="1851"/>
      <c r="F82" s="1851"/>
    </row>
    <row r="83" spans="2:9" hidden="1">
      <c r="B83" s="1851">
        <v>353</v>
      </c>
      <c r="C83" s="1851">
        <v>27.35</v>
      </c>
      <c r="E83" s="1851"/>
      <c r="F83" s="1851"/>
    </row>
    <row r="84" spans="2:9" hidden="1">
      <c r="B84" s="1851">
        <v>360</v>
      </c>
      <c r="C84" s="1851">
        <v>27.91</v>
      </c>
      <c r="E84" s="1851"/>
      <c r="F84" s="1851"/>
    </row>
    <row r="85" spans="2:9" hidden="1">
      <c r="B85" s="1851">
        <v>382</v>
      </c>
      <c r="C85" s="1851">
        <v>29.51</v>
      </c>
      <c r="E85" s="1851"/>
      <c r="F85" s="1851"/>
    </row>
    <row r="86" spans="2:9" hidden="1">
      <c r="B86" s="1851">
        <v>391</v>
      </c>
      <c r="C86" s="1851">
        <v>30.39</v>
      </c>
      <c r="E86" s="1851"/>
      <c r="F86" s="1851"/>
    </row>
    <row r="87" spans="2:9" hidden="1">
      <c r="B87" s="1851">
        <v>399</v>
      </c>
      <c r="C87" s="1851">
        <v>31.01</v>
      </c>
    </row>
    <row r="88" spans="2:9">
      <c r="B88" s="1851"/>
      <c r="C88" s="1851"/>
    </row>
    <row r="89" spans="2:9" ht="18">
      <c r="B89" s="1856" t="s">
        <v>2401</v>
      </c>
      <c r="C89" s="1853"/>
    </row>
    <row r="90" spans="2:9">
      <c r="B90" s="1851"/>
      <c r="C90" s="1851"/>
    </row>
    <row r="91" spans="2:9" ht="18" customHeight="1">
      <c r="B91" s="1848" t="s">
        <v>2402</v>
      </c>
      <c r="C91" s="1846"/>
      <c r="D91" s="1591"/>
      <c r="E91" s="1844" t="s">
        <v>2403</v>
      </c>
      <c r="F91" s="1591"/>
      <c r="G91" s="1591"/>
      <c r="H91" s="1844" t="s">
        <v>2404</v>
      </c>
    </row>
    <row r="92" spans="2:9" ht="18" customHeight="1">
      <c r="C92" s="1851"/>
    </row>
    <row r="93" spans="2:9" ht="18" customHeight="1">
      <c r="B93" s="1845">
        <v>41275</v>
      </c>
      <c r="C93" s="1846">
        <v>184</v>
      </c>
      <c r="D93" s="1591"/>
      <c r="E93" s="1845">
        <v>41275</v>
      </c>
      <c r="F93" s="1846">
        <v>184</v>
      </c>
      <c r="G93" s="1591"/>
      <c r="H93" s="1845">
        <v>41275</v>
      </c>
      <c r="I93" s="1846">
        <v>186</v>
      </c>
    </row>
    <row r="94" spans="2:9" ht="18" customHeight="1">
      <c r="B94" s="1845">
        <v>42370</v>
      </c>
      <c r="C94" s="1846">
        <v>190</v>
      </c>
      <c r="D94" s="1591"/>
      <c r="E94" s="1845">
        <v>42370</v>
      </c>
      <c r="F94" s="1846">
        <v>190</v>
      </c>
      <c r="G94" s="1591"/>
      <c r="H94" s="1845">
        <v>42370</v>
      </c>
      <c r="I94" s="1846">
        <v>192</v>
      </c>
    </row>
    <row r="95" spans="2:9" ht="18" customHeight="1">
      <c r="B95" s="1847">
        <v>42736</v>
      </c>
      <c r="C95" s="1848">
        <v>192</v>
      </c>
      <c r="D95" s="1844"/>
      <c r="E95" s="1847">
        <v>42736</v>
      </c>
      <c r="F95" s="1848">
        <v>192</v>
      </c>
      <c r="G95" s="1844"/>
      <c r="H95" s="1847">
        <v>42736</v>
      </c>
      <c r="I95" s="1848">
        <v>194</v>
      </c>
    </row>
    <row r="96" spans="2:9" ht="18" customHeight="1">
      <c r="B96" s="1849">
        <v>43101</v>
      </c>
      <c r="C96" s="1848">
        <v>194</v>
      </c>
      <c r="D96" s="1844"/>
      <c r="E96" s="1849">
        <v>43101</v>
      </c>
      <c r="F96" s="1848">
        <v>194</v>
      </c>
      <c r="G96" s="1844"/>
      <c r="H96" s="1849">
        <v>43101</v>
      </c>
      <c r="I96" s="1848">
        <v>196</v>
      </c>
    </row>
    <row r="97" spans="2:10" ht="18" customHeight="1">
      <c r="B97" s="1849">
        <v>43647</v>
      </c>
      <c r="C97" s="1848">
        <v>204</v>
      </c>
      <c r="D97" s="1844"/>
      <c r="E97" s="1849">
        <v>43647</v>
      </c>
      <c r="F97" s="1848">
        <v>204</v>
      </c>
      <c r="G97" s="1844"/>
      <c r="H97" s="1849">
        <v>43647</v>
      </c>
      <c r="I97" s="1848">
        <v>206</v>
      </c>
    </row>
    <row r="98" spans="2:10" ht="18" customHeight="1">
      <c r="B98" s="1849">
        <v>43831</v>
      </c>
      <c r="C98" s="1848">
        <v>204</v>
      </c>
      <c r="D98"/>
      <c r="E98" s="1849">
        <v>43831</v>
      </c>
      <c r="F98" s="1848">
        <v>204</v>
      </c>
      <c r="G98"/>
      <c r="H98" s="1849">
        <v>43831</v>
      </c>
      <c r="I98" s="1848">
        <v>206</v>
      </c>
      <c r="J98"/>
    </row>
    <row r="99" spans="2:10" ht="18" customHeight="1">
      <c r="B99" s="1849">
        <v>44197</v>
      </c>
      <c r="C99" s="1848">
        <v>219</v>
      </c>
      <c r="D99" s="1844"/>
      <c r="E99" s="1849">
        <v>44197</v>
      </c>
      <c r="F99" s="1848">
        <v>219</v>
      </c>
      <c r="G99" s="1844"/>
      <c r="H99" s="1849">
        <v>44197</v>
      </c>
      <c r="I99" s="1848">
        <v>221</v>
      </c>
    </row>
    <row r="100" spans="2:10" ht="18" customHeight="1">
      <c r="B100" s="1844" t="s">
        <v>2405</v>
      </c>
      <c r="C100" s="1846"/>
      <c r="D100" s="1591"/>
      <c r="E100" s="1844" t="s">
        <v>2406</v>
      </c>
      <c r="F100" s="1851"/>
      <c r="I100" s="1851"/>
    </row>
    <row r="101" spans="2:10" ht="18" customHeight="1">
      <c r="C101" s="1851"/>
      <c r="F101" s="1851"/>
      <c r="I101" s="1851"/>
    </row>
    <row r="102" spans="2:10" ht="18" customHeight="1">
      <c r="B102" s="1845">
        <v>41275</v>
      </c>
      <c r="C102" s="1846">
        <v>193.25</v>
      </c>
      <c r="D102" s="1591"/>
      <c r="E102" s="1845">
        <v>41275</v>
      </c>
      <c r="F102" s="1846">
        <v>197.6</v>
      </c>
      <c r="H102" s="1850"/>
      <c r="I102" s="1851"/>
    </row>
    <row r="103" spans="2:10" ht="18" customHeight="1">
      <c r="B103" s="1845">
        <v>42370</v>
      </c>
      <c r="C103" s="1846">
        <v>199.25</v>
      </c>
      <c r="D103" s="1591"/>
      <c r="E103" s="1845">
        <v>42370</v>
      </c>
      <c r="F103" s="1846">
        <v>203.6</v>
      </c>
      <c r="H103" s="1850"/>
      <c r="I103" s="1851"/>
    </row>
    <row r="104" spans="2:10" ht="18" customHeight="1">
      <c r="B104" s="1847">
        <v>42736</v>
      </c>
      <c r="C104" s="1848">
        <v>201.25</v>
      </c>
      <c r="D104" s="1844"/>
      <c r="E104" s="1847">
        <v>42736</v>
      </c>
      <c r="F104" s="1848">
        <v>205.6</v>
      </c>
      <c r="I104" s="1851"/>
    </row>
    <row r="105" spans="2:10" ht="18" customHeight="1">
      <c r="B105" s="1849">
        <v>43101</v>
      </c>
      <c r="C105" s="1848">
        <v>203.25</v>
      </c>
      <c r="D105" s="1844"/>
      <c r="E105" s="1849">
        <v>43101</v>
      </c>
      <c r="F105" s="1848">
        <v>207.6</v>
      </c>
      <c r="I105" s="1851"/>
    </row>
    <row r="106" spans="2:10" ht="18" customHeight="1">
      <c r="B106" s="1849">
        <v>43647</v>
      </c>
      <c r="C106" s="1848">
        <v>213.25</v>
      </c>
      <c r="D106" s="1844"/>
      <c r="E106" s="1849">
        <v>43647</v>
      </c>
      <c r="F106" s="1848">
        <v>217.6</v>
      </c>
      <c r="I106" s="1851"/>
    </row>
    <row r="107" spans="2:10" ht="18" customHeight="1">
      <c r="B107" s="1849">
        <v>43831</v>
      </c>
      <c r="C107" s="1848">
        <v>213.25</v>
      </c>
      <c r="D107"/>
      <c r="E107" s="1849">
        <v>43831</v>
      </c>
      <c r="F107" s="1848">
        <v>217.6</v>
      </c>
      <c r="I107" s="1851"/>
    </row>
    <row r="108" spans="2:10" ht="18" customHeight="1">
      <c r="B108" s="1849">
        <v>44197</v>
      </c>
      <c r="C108" s="1848">
        <v>228.25</v>
      </c>
      <c r="E108" s="1849">
        <v>44197</v>
      </c>
      <c r="F108" s="1848">
        <v>232.6</v>
      </c>
      <c r="I108" s="1851"/>
    </row>
    <row r="109" spans="2:10" ht="18" customHeight="1"/>
    <row r="111" spans="2:10" ht="18">
      <c r="B111" s="1843" t="s">
        <v>205</v>
      </c>
    </row>
    <row r="113" spans="2:10" ht="15" customHeight="1">
      <c r="B113" s="1844" t="s">
        <v>2407</v>
      </c>
      <c r="C113" s="1591"/>
      <c r="D113" s="1591"/>
      <c r="E113" s="1844" t="s">
        <v>2408</v>
      </c>
      <c r="F113" s="1591"/>
      <c r="G113" s="1591"/>
      <c r="H113" s="1844" t="s">
        <v>2409</v>
      </c>
      <c r="I113" s="1591"/>
      <c r="J113" s="1591"/>
    </row>
    <row r="114" spans="2:10" ht="15" customHeight="1"/>
    <row r="115" spans="2:10" ht="18" customHeight="1">
      <c r="B115" s="1845">
        <v>41275</v>
      </c>
      <c r="C115" s="1846">
        <v>133</v>
      </c>
      <c r="D115" s="1591"/>
      <c r="E115" s="1845">
        <v>41275</v>
      </c>
      <c r="F115" s="1846">
        <v>180</v>
      </c>
      <c r="G115" s="1591"/>
      <c r="H115" s="1845">
        <v>41275</v>
      </c>
      <c r="I115" s="1846">
        <v>0</v>
      </c>
    </row>
    <row r="116" spans="2:10" ht="18" customHeight="1">
      <c r="B116" s="1845">
        <v>42186</v>
      </c>
      <c r="C116" s="1846">
        <v>144</v>
      </c>
      <c r="D116" s="1591"/>
      <c r="E116" s="1845">
        <v>42186</v>
      </c>
      <c r="F116" s="1846">
        <v>192</v>
      </c>
      <c r="G116" s="1591"/>
      <c r="H116" s="1845">
        <v>42186</v>
      </c>
      <c r="I116" s="1846">
        <v>0</v>
      </c>
    </row>
    <row r="117" spans="2:10" ht="18" customHeight="1">
      <c r="B117" s="1845">
        <v>42370</v>
      </c>
      <c r="C117" s="1846">
        <v>145</v>
      </c>
      <c r="D117" s="1591"/>
      <c r="E117" s="1845">
        <v>42370</v>
      </c>
      <c r="F117" s="1846">
        <v>194</v>
      </c>
      <c r="G117" s="1591"/>
      <c r="H117" s="1845">
        <v>42370</v>
      </c>
      <c r="I117" s="1846">
        <v>0</v>
      </c>
    </row>
    <row r="118" spans="2:10" ht="18" customHeight="1">
      <c r="B118" s="1847">
        <v>42736</v>
      </c>
      <c r="C118" s="1848">
        <v>150</v>
      </c>
      <c r="D118" s="1844"/>
      <c r="E118" s="1847">
        <v>42736</v>
      </c>
      <c r="F118" s="1848">
        <v>201</v>
      </c>
      <c r="G118" s="1844"/>
      <c r="H118" s="1847">
        <v>42917</v>
      </c>
      <c r="I118" s="1848">
        <v>268</v>
      </c>
    </row>
    <row r="119" spans="2:10" ht="15" customHeight="1">
      <c r="B119" s="1849">
        <v>43101</v>
      </c>
      <c r="C119" s="1848">
        <v>154</v>
      </c>
      <c r="D119" s="1844"/>
      <c r="E119" s="1849">
        <v>43101</v>
      </c>
      <c r="F119" s="1848">
        <v>205</v>
      </c>
      <c r="G119" s="1844"/>
      <c r="H119" s="1849">
        <v>43101</v>
      </c>
      <c r="I119" s="1848">
        <v>273</v>
      </c>
    </row>
    <row r="120" spans="2:10" ht="15" customHeight="1">
      <c r="B120" s="1849">
        <v>43466</v>
      </c>
      <c r="C120" s="1848">
        <v>164</v>
      </c>
      <c r="E120" s="1849">
        <v>43466</v>
      </c>
      <c r="F120" s="1848">
        <v>212</v>
      </c>
      <c r="H120" s="1849">
        <v>43466</v>
      </c>
      <c r="I120" s="1848">
        <v>282</v>
      </c>
    </row>
    <row r="121" spans="2:10" ht="15" customHeight="1">
      <c r="B121" s="1849">
        <v>43647</v>
      </c>
      <c r="C121" s="1848">
        <v>154</v>
      </c>
      <c r="E121" s="1849">
        <v>43647</v>
      </c>
      <c r="F121" s="1848">
        <v>202</v>
      </c>
      <c r="H121" s="1849">
        <v>43647</v>
      </c>
      <c r="I121" s="1848">
        <v>272</v>
      </c>
    </row>
    <row r="122" spans="2:10" ht="15" customHeight="1">
      <c r="B122" s="1849">
        <v>43831</v>
      </c>
      <c r="C122" s="1848">
        <v>165</v>
      </c>
      <c r="E122" s="1849">
        <v>43831</v>
      </c>
      <c r="F122" s="1848">
        <v>220</v>
      </c>
      <c r="H122" s="1849">
        <v>43831</v>
      </c>
      <c r="I122" s="1848">
        <v>293</v>
      </c>
    </row>
    <row r="123" spans="2:10" ht="15" customHeight="1">
      <c r="B123" s="1849">
        <v>44197</v>
      </c>
      <c r="C123" s="1848">
        <v>174</v>
      </c>
      <c r="E123" s="1849">
        <v>44197</v>
      </c>
      <c r="F123" s="1848">
        <v>232</v>
      </c>
      <c r="H123" s="1849">
        <v>44197</v>
      </c>
      <c r="I123" s="1848">
        <v>309</v>
      </c>
    </row>
    <row r="124" spans="2:10" ht="15" customHeight="1">
      <c r="B124" s="1849">
        <v>44562</v>
      </c>
      <c r="C124" s="1848">
        <v>177</v>
      </c>
      <c r="E124" s="1849">
        <v>44562</v>
      </c>
      <c r="F124" s="1848">
        <v>236</v>
      </c>
      <c r="H124" s="1849">
        <v>44562</v>
      </c>
      <c r="I124" s="1848">
        <v>314</v>
      </c>
    </row>
    <row r="125" spans="2:10" ht="15" customHeight="1"/>
    <row r="126" spans="2:10" ht="15" customHeight="1"/>
    <row r="128" spans="2:10" ht="18">
      <c r="B128" s="1843" t="s">
        <v>2281</v>
      </c>
      <c r="C128" s="1857"/>
    </row>
    <row r="130" spans="2:8" ht="15" customHeight="1">
      <c r="C130" s="1858" t="s">
        <v>2410</v>
      </c>
      <c r="D130" s="1859" t="s">
        <v>2411</v>
      </c>
      <c r="F130" s="1998" t="s">
        <v>2412</v>
      </c>
      <c r="G130" s="1998"/>
      <c r="H130" s="1859" t="s">
        <v>2411</v>
      </c>
    </row>
    <row r="131" spans="2:8" ht="15" customHeight="1">
      <c r="C131" s="1851"/>
    </row>
    <row r="132" spans="2:8" ht="18" customHeight="1">
      <c r="B132" s="1845">
        <v>41275</v>
      </c>
      <c r="C132" s="1846">
        <v>610.30999999999995</v>
      </c>
      <c r="D132" s="1846">
        <f>C132/2</f>
        <v>305.15499999999997</v>
      </c>
      <c r="E132" s="1845"/>
      <c r="F132" s="1846">
        <v>80.72</v>
      </c>
      <c r="G132" s="1591"/>
      <c r="H132" s="1846">
        <f t="shared" ref="H132:H140" si="0">F132/2</f>
        <v>40.36</v>
      </c>
    </row>
    <row r="133" spans="2:8" ht="18" customHeight="1">
      <c r="B133" s="1845">
        <v>41640</v>
      </c>
      <c r="C133" s="1846">
        <v>627.75</v>
      </c>
      <c r="D133" s="1846">
        <f>C133/2</f>
        <v>313.875</v>
      </c>
      <c r="E133" s="1845"/>
      <c r="F133" s="1846">
        <v>83.02</v>
      </c>
      <c r="G133" s="1591"/>
      <c r="H133" s="1846">
        <f t="shared" si="0"/>
        <v>41.51</v>
      </c>
    </row>
    <row r="134" spans="2:8" ht="18" customHeight="1">
      <c r="B134" s="1845">
        <v>42005</v>
      </c>
      <c r="C134" s="1846">
        <v>639.38</v>
      </c>
      <c r="D134" s="1846">
        <f>C134/2</f>
        <v>319.69</v>
      </c>
      <c r="E134" s="1845"/>
      <c r="F134" s="1846">
        <v>96.94</v>
      </c>
      <c r="G134" s="1591"/>
      <c r="H134" s="1846">
        <f t="shared" si="0"/>
        <v>48.47</v>
      </c>
    </row>
    <row r="135" spans="2:8" ht="18" customHeight="1">
      <c r="B135" s="1845">
        <v>42370</v>
      </c>
      <c r="C135" s="1846">
        <v>665.29</v>
      </c>
      <c r="D135" s="1846">
        <v>332.65</v>
      </c>
      <c r="E135" s="1845"/>
      <c r="F135" s="1846">
        <v>99.58</v>
      </c>
      <c r="G135" s="1591"/>
      <c r="H135" s="1846">
        <f t="shared" si="0"/>
        <v>49.79</v>
      </c>
    </row>
    <row r="136" spans="2:8" ht="18" customHeight="1">
      <c r="B136" s="1847">
        <v>42736</v>
      </c>
      <c r="C136" s="1846">
        <v>682.95</v>
      </c>
      <c r="D136" s="1848">
        <f>C136/2</f>
        <v>341.47500000000002</v>
      </c>
      <c r="E136" s="1845"/>
      <c r="F136" s="1846">
        <v>110.92</v>
      </c>
      <c r="G136" s="1846"/>
      <c r="H136" s="1848">
        <f t="shared" si="0"/>
        <v>55.46</v>
      </c>
    </row>
    <row r="137" spans="2:8" ht="15" customHeight="1">
      <c r="B137" s="1849">
        <v>43101</v>
      </c>
      <c r="C137" s="1846">
        <v>690.31</v>
      </c>
      <c r="D137" s="1848">
        <f>C137/2</f>
        <v>345.15499999999997</v>
      </c>
      <c r="E137" s="1860"/>
      <c r="F137" s="1846">
        <v>112.84</v>
      </c>
      <c r="G137" s="1846"/>
      <c r="H137" s="1848">
        <f t="shared" si="0"/>
        <v>56.42</v>
      </c>
    </row>
    <row r="138" spans="2:8" ht="15" customHeight="1">
      <c r="B138" s="1849">
        <v>43466</v>
      </c>
      <c r="C138" s="1846">
        <v>707.85</v>
      </c>
      <c r="D138" s="1848">
        <f>C138/2</f>
        <v>353.92500000000001</v>
      </c>
      <c r="E138" s="1860"/>
      <c r="F138" s="1846">
        <v>139.38999999999999</v>
      </c>
      <c r="G138" s="1846"/>
      <c r="H138" s="1848">
        <f t="shared" si="0"/>
        <v>69.694999999999993</v>
      </c>
    </row>
    <row r="139" spans="2:8" ht="15" customHeight="1">
      <c r="B139" s="1849">
        <v>43831</v>
      </c>
      <c r="C139" s="1846">
        <v>735.94</v>
      </c>
      <c r="D139" s="1848">
        <f>C139/2</f>
        <v>367.97</v>
      </c>
      <c r="E139" s="1860"/>
      <c r="F139" s="1846">
        <v>142.96</v>
      </c>
      <c r="G139" s="1846"/>
      <c r="H139" s="1848">
        <f t="shared" si="0"/>
        <v>71.48</v>
      </c>
    </row>
    <row r="140" spans="2:8" ht="15" customHeight="1">
      <c r="B140" s="1849">
        <v>44197</v>
      </c>
      <c r="C140" s="1846">
        <v>769.16</v>
      </c>
      <c r="D140" s="1848">
        <f>C140/2</f>
        <v>384.58</v>
      </c>
      <c r="E140" s="1860"/>
      <c r="F140" s="1846">
        <v>147.54</v>
      </c>
      <c r="G140" s="1846"/>
      <c r="H140" s="1848">
        <f t="shared" si="0"/>
        <v>73.77</v>
      </c>
    </row>
    <row r="141" spans="2:8" ht="15" customHeight="1">
      <c r="C141" s="1851"/>
      <c r="D141" s="1851"/>
      <c r="E141" s="1851"/>
      <c r="F141" s="1851"/>
      <c r="G141" s="1851"/>
      <c r="H141" s="1851"/>
    </row>
    <row r="142" spans="2:8" ht="15" customHeight="1">
      <c r="C142" s="1851"/>
      <c r="D142" s="1851"/>
      <c r="E142" s="1851"/>
      <c r="F142" s="1851"/>
      <c r="G142" s="1851"/>
      <c r="H142" s="1851"/>
    </row>
    <row r="143" spans="2:8" ht="15" customHeight="1">
      <c r="C143" s="1851"/>
      <c r="D143" s="1851"/>
      <c r="E143" s="1851"/>
      <c r="F143" s="1851"/>
      <c r="G143" s="1851"/>
      <c r="H143" s="1851"/>
    </row>
    <row r="144" spans="2:8" ht="15" customHeight="1">
      <c r="C144" s="1851"/>
      <c r="D144" s="1851"/>
      <c r="E144" s="1851"/>
      <c r="F144" s="1851"/>
      <c r="G144" s="1851"/>
      <c r="H144" s="1851"/>
    </row>
    <row r="145" spans="2:9">
      <c r="C145" s="1851"/>
      <c r="D145" s="1851"/>
      <c r="E145" s="1851"/>
      <c r="F145" s="1851"/>
      <c r="G145" s="1851"/>
      <c r="H145" s="1851"/>
    </row>
    <row r="146" spans="2:9" ht="18">
      <c r="B146" s="1843" t="s">
        <v>2252</v>
      </c>
      <c r="C146" s="1851"/>
      <c r="D146" s="1851"/>
      <c r="E146" s="1851"/>
      <c r="F146" s="1851"/>
      <c r="G146" s="1851"/>
      <c r="H146" s="1851"/>
    </row>
    <row r="147" spans="2:9">
      <c r="C147" s="1851"/>
      <c r="D147" s="1851"/>
      <c r="E147" s="1851"/>
      <c r="F147" s="1851"/>
      <c r="G147" s="1851"/>
      <c r="H147" s="1851"/>
    </row>
    <row r="148" spans="2:9" ht="18" customHeight="1">
      <c r="B148" s="1845">
        <v>42552</v>
      </c>
      <c r="C148" s="1846">
        <v>160</v>
      </c>
      <c r="D148" s="1851"/>
      <c r="E148" s="1851"/>
      <c r="F148" s="1851"/>
      <c r="G148" s="1851"/>
      <c r="H148" s="1851"/>
    </row>
    <row r="149" spans="2:9" ht="18" customHeight="1">
      <c r="B149" s="1845">
        <v>42736</v>
      </c>
      <c r="C149" s="1846">
        <v>170</v>
      </c>
      <c r="D149" s="1851"/>
      <c r="E149" s="1851"/>
      <c r="F149" s="1851"/>
      <c r="G149" s="1851"/>
      <c r="H149" s="1851"/>
    </row>
    <row r="150" spans="2:9" ht="18" customHeight="1">
      <c r="B150" s="1591"/>
      <c r="C150" s="1846"/>
      <c r="D150" s="1851"/>
      <c r="E150" s="1851"/>
      <c r="F150" s="1851"/>
      <c r="G150" s="1851"/>
      <c r="H150" s="1851"/>
    </row>
    <row r="151" spans="2:9" ht="18" customHeight="1">
      <c r="B151" s="1591"/>
      <c r="C151" s="1846"/>
      <c r="D151" s="1851"/>
      <c r="E151" s="1851"/>
      <c r="F151" s="1851"/>
      <c r="G151" s="1851"/>
      <c r="H151" s="1851"/>
    </row>
    <row r="152" spans="2:9" ht="18" customHeight="1">
      <c r="B152" s="1591"/>
      <c r="C152" s="1591"/>
    </row>
    <row r="153" spans="2:9" ht="18" customHeight="1">
      <c r="B153" s="1843" t="s">
        <v>2413</v>
      </c>
      <c r="C153" s="1591"/>
    </row>
    <row r="154" spans="2:9" ht="18" customHeight="1">
      <c r="B154" s="1591"/>
      <c r="C154" s="1591"/>
    </row>
    <row r="155" spans="2:9" ht="18" customHeight="1">
      <c r="B155" s="1848" t="s">
        <v>2402</v>
      </c>
      <c r="C155" s="1846"/>
      <c r="D155" s="1591"/>
      <c r="E155" s="1844" t="s">
        <v>2403</v>
      </c>
      <c r="F155" s="1591"/>
      <c r="G155" s="1591"/>
      <c r="H155" s="1844" t="s">
        <v>2404</v>
      </c>
    </row>
    <row r="156" spans="2:9">
      <c r="C156" s="1851"/>
    </row>
    <row r="157" spans="2:9" ht="15">
      <c r="B157" s="1860">
        <v>41275</v>
      </c>
      <c r="C157" s="1846">
        <v>184</v>
      </c>
      <c r="D157" s="1591"/>
      <c r="E157" s="1860">
        <v>41275</v>
      </c>
      <c r="F157" s="1846">
        <v>184</v>
      </c>
      <c r="G157" s="1591"/>
      <c r="H157" s="1860">
        <v>41275</v>
      </c>
      <c r="I157" s="1846">
        <v>190</v>
      </c>
    </row>
    <row r="158" spans="2:9" ht="15">
      <c r="B158" s="1860">
        <v>42370</v>
      </c>
      <c r="C158" s="1846">
        <v>190</v>
      </c>
      <c r="D158" s="1591"/>
      <c r="E158" s="1860">
        <v>42370</v>
      </c>
      <c r="F158" s="1846">
        <v>190</v>
      </c>
      <c r="G158" s="1591"/>
      <c r="H158" s="1860">
        <v>42370</v>
      </c>
      <c r="I158" s="1846">
        <v>196</v>
      </c>
    </row>
    <row r="159" spans="2:9" ht="15.75">
      <c r="B159" s="1849">
        <v>42736</v>
      </c>
      <c r="C159" s="1848">
        <v>192</v>
      </c>
      <c r="D159" s="1844"/>
      <c r="E159" s="1849">
        <v>42736</v>
      </c>
      <c r="F159" s="1848">
        <v>192</v>
      </c>
      <c r="G159" s="1844"/>
      <c r="H159" s="1849">
        <v>42736</v>
      </c>
      <c r="I159" s="1848">
        <v>198</v>
      </c>
    </row>
    <row r="160" spans="2:9" ht="15.75">
      <c r="B160" s="1849">
        <v>43101</v>
      </c>
      <c r="C160" s="1848">
        <v>194</v>
      </c>
      <c r="E160" s="1849">
        <v>43101</v>
      </c>
      <c r="F160" s="1848">
        <v>194</v>
      </c>
      <c r="H160" s="1849">
        <v>43101</v>
      </c>
      <c r="I160" s="1848">
        <v>200</v>
      </c>
    </row>
    <row r="161" spans="2:9" ht="15.75">
      <c r="B161" s="1849">
        <v>43647</v>
      </c>
      <c r="C161" s="1848">
        <v>204</v>
      </c>
      <c r="E161" s="1849">
        <v>43647</v>
      </c>
      <c r="F161" s="1848">
        <v>204</v>
      </c>
      <c r="H161" s="1849">
        <v>43647</v>
      </c>
      <c r="I161" s="1848">
        <v>210</v>
      </c>
    </row>
    <row r="162" spans="2:9" ht="15.75">
      <c r="B162" s="1849">
        <v>43831</v>
      </c>
      <c r="C162" s="1848">
        <v>204</v>
      </c>
      <c r="E162" s="1849">
        <v>43831</v>
      </c>
      <c r="F162" s="1848">
        <v>204</v>
      </c>
      <c r="H162" s="1849">
        <v>43831</v>
      </c>
      <c r="I162" s="1848">
        <v>210</v>
      </c>
    </row>
    <row r="163" spans="2:9" ht="15.75">
      <c r="B163" s="1849">
        <v>44197</v>
      </c>
      <c r="C163" s="1848">
        <v>219</v>
      </c>
      <c r="E163" s="1849">
        <v>44197</v>
      </c>
      <c r="F163" s="1848">
        <v>219</v>
      </c>
      <c r="H163" s="1849">
        <v>44197</v>
      </c>
      <c r="I163" s="1848">
        <v>225</v>
      </c>
    </row>
    <row r="164" spans="2:9">
      <c r="C164" s="1851"/>
      <c r="F164" s="1851"/>
      <c r="I164" s="1851"/>
    </row>
    <row r="165" spans="2:9">
      <c r="C165" s="1851"/>
      <c r="F165" s="1851"/>
      <c r="I165" s="1851"/>
    </row>
    <row r="166" spans="2:9" ht="15.75">
      <c r="B166" s="1844" t="s">
        <v>2405</v>
      </c>
      <c r="C166" s="1846"/>
      <c r="D166" s="1591"/>
      <c r="E166" s="1844" t="s">
        <v>2406</v>
      </c>
      <c r="F166" s="1851"/>
      <c r="I166" s="1851"/>
    </row>
    <row r="167" spans="2:9">
      <c r="C167" s="1851"/>
      <c r="F167" s="1851"/>
      <c r="I167" s="1851"/>
    </row>
    <row r="168" spans="2:9" ht="15">
      <c r="B168" s="1860">
        <v>41275</v>
      </c>
      <c r="C168" s="1846">
        <v>215</v>
      </c>
      <c r="D168" s="1591"/>
      <c r="E168" s="1860">
        <v>41275</v>
      </c>
      <c r="F168" s="1846">
        <v>215</v>
      </c>
      <c r="H168" s="1861"/>
      <c r="I168" s="1851"/>
    </row>
    <row r="169" spans="2:9" ht="15">
      <c r="B169" s="1860">
        <v>42370</v>
      </c>
      <c r="C169" s="1846">
        <v>221</v>
      </c>
      <c r="D169" s="1591"/>
      <c r="E169" s="1860">
        <v>42370</v>
      </c>
      <c r="F169" s="1846">
        <v>221</v>
      </c>
      <c r="H169" s="1861"/>
      <c r="I169" s="1851"/>
    </row>
    <row r="170" spans="2:9" ht="15.75">
      <c r="B170" s="1849">
        <v>42736</v>
      </c>
      <c r="C170" s="1848">
        <v>223</v>
      </c>
      <c r="D170" s="1844"/>
      <c r="E170" s="1849">
        <v>42736</v>
      </c>
      <c r="F170" s="1848">
        <v>223</v>
      </c>
      <c r="I170" s="1851"/>
    </row>
    <row r="171" spans="2:9" ht="15.75">
      <c r="B171" s="1849">
        <v>43101</v>
      </c>
      <c r="C171" s="1848">
        <v>225</v>
      </c>
      <c r="E171" s="1849">
        <v>43101</v>
      </c>
      <c r="F171" s="1848">
        <v>225</v>
      </c>
    </row>
    <row r="172" spans="2:9" ht="15.75">
      <c r="B172" s="1849">
        <v>43647</v>
      </c>
      <c r="C172" s="1848">
        <v>235</v>
      </c>
      <c r="E172" s="1849">
        <v>43647</v>
      </c>
      <c r="F172" s="1848">
        <v>235</v>
      </c>
    </row>
    <row r="173" spans="2:9" ht="15.75">
      <c r="B173" s="1849">
        <v>43831</v>
      </c>
      <c r="C173" s="1848">
        <v>235</v>
      </c>
      <c r="E173" s="1849">
        <v>43831</v>
      </c>
      <c r="F173" s="1848">
        <v>235</v>
      </c>
    </row>
    <row r="174" spans="2:9" ht="15.75">
      <c r="B174" s="1849">
        <v>44197</v>
      </c>
      <c r="C174" s="1848">
        <v>250</v>
      </c>
      <c r="E174" s="1849">
        <v>44197</v>
      </c>
      <c r="F174" s="1848">
        <v>250</v>
      </c>
    </row>
    <row r="177" spans="2:3" ht="18">
      <c r="B177" s="1843" t="s">
        <v>2414</v>
      </c>
    </row>
    <row r="179" spans="2:3" ht="15.75">
      <c r="B179" s="1861">
        <v>41275</v>
      </c>
      <c r="C179" s="1848">
        <v>200</v>
      </c>
    </row>
    <row r="180" spans="2:3" ht="15.75">
      <c r="B180" s="1861">
        <v>41640</v>
      </c>
      <c r="C180" s="1848">
        <v>200</v>
      </c>
    </row>
    <row r="181" spans="2:3" ht="15.75">
      <c r="B181" s="1861">
        <v>42005</v>
      </c>
      <c r="C181" s="1848">
        <v>200</v>
      </c>
    </row>
    <row r="182" spans="2:3" ht="15.75">
      <c r="B182" s="1861">
        <v>42370</v>
      </c>
      <c r="C182" s="1848">
        <v>200</v>
      </c>
    </row>
    <row r="183" spans="2:3" ht="15.75">
      <c r="B183" s="1861">
        <v>42736</v>
      </c>
      <c r="C183" s="1848">
        <v>200</v>
      </c>
    </row>
    <row r="184" spans="2:3" ht="15.75">
      <c r="B184" s="1861">
        <v>43101</v>
      </c>
      <c r="C184" s="1848">
        <v>200</v>
      </c>
    </row>
    <row r="185" spans="2:3" ht="15.75">
      <c r="B185" s="1861">
        <v>43466</v>
      </c>
      <c r="C185" s="1848">
        <v>200</v>
      </c>
    </row>
    <row r="186" spans="2:3" ht="15.75">
      <c r="B186" s="1861">
        <v>43831</v>
      </c>
      <c r="C186" s="1848">
        <v>200</v>
      </c>
    </row>
    <row r="187" spans="2:3" ht="15.75">
      <c r="B187" s="1861">
        <v>44197</v>
      </c>
      <c r="C187" s="1848">
        <v>250</v>
      </c>
    </row>
  </sheetData>
  <sheetProtection sheet="1" objects="1" scenarios="1"/>
  <mergeCells count="6">
    <mergeCell ref="F130:G130"/>
    <mergeCell ref="D47:E47"/>
    <mergeCell ref="D46:E46"/>
    <mergeCell ref="D48:E48"/>
    <mergeCell ref="D51:E51"/>
    <mergeCell ref="D49:E49"/>
  </mergeCells>
  <hyperlinks>
    <hyperlink ref="B66" location="Eingabetabelle!B29" display="zurück"/>
  </hyperlinks>
  <pageMargins left="0.78749999999999998" right="0.78749999999999998" top="0.98402777777777795" bottom="0.98402777777777795" header="0.51180555555555496" footer="0.51180555555555496"/>
  <pageSetup paperSize="9" firstPageNumber="0" orientation="portrait" horizontalDpi="300" verticalDpi="300" r:id="rId1"/>
</worksheet>
</file>

<file path=xl/worksheets/sheet16.xml><?xml version="1.0" encoding="utf-8"?>
<worksheet xmlns="http://schemas.openxmlformats.org/spreadsheetml/2006/main" xmlns:r="http://schemas.openxmlformats.org/officeDocument/2006/relationships">
  <dimension ref="A1:BL239"/>
  <sheetViews>
    <sheetView showGridLines="0" zoomScale="120" zoomScaleNormal="120" workbookViewId="0">
      <selection activeCell="I2" sqref="I2"/>
    </sheetView>
  </sheetViews>
  <sheetFormatPr baseColWidth="10" defaultColWidth="11.5703125" defaultRowHeight="16.5"/>
  <cols>
    <col min="1" max="1" width="33.28515625" style="801" customWidth="1"/>
    <col min="2" max="2" width="16.7109375" style="801" customWidth="1"/>
    <col min="3" max="3" width="12.85546875" style="801" customWidth="1"/>
    <col min="4" max="6" width="13" style="801" customWidth="1"/>
    <col min="7" max="7" width="12.5703125" style="801" customWidth="1"/>
    <col min="8" max="8" width="12.7109375" style="801" customWidth="1"/>
    <col min="9" max="9" width="13.42578125" style="801" customWidth="1"/>
    <col min="10" max="64" width="11.42578125" style="801" customWidth="1"/>
  </cols>
  <sheetData>
    <row r="1" spans="1:11" ht="20.25" customHeight="1">
      <c r="H1" s="802" t="s">
        <v>2156</v>
      </c>
      <c r="I1" s="803">
        <f ca="1">TODAY()</f>
        <v>44774</v>
      </c>
    </row>
    <row r="2" spans="1:11" ht="36" customHeight="1">
      <c r="A2" s="1313"/>
      <c r="B2" s="1314" t="s">
        <v>2157</v>
      </c>
      <c r="C2" s="1315"/>
      <c r="D2" s="1316"/>
      <c r="E2" s="1317"/>
      <c r="F2" s="1317"/>
      <c r="G2" s="1317"/>
      <c r="H2" s="1317"/>
      <c r="I2" s="1318"/>
      <c r="J2" s="1268"/>
      <c r="K2" s="1268"/>
    </row>
    <row r="3" spans="1:11" ht="18.75">
      <c r="A3" s="806" t="s">
        <v>138</v>
      </c>
      <c r="B3" s="1990">
        <f>Zusatzeingaben!B2</f>
        <v>0</v>
      </c>
      <c r="C3" s="1990"/>
      <c r="D3" s="807" t="s">
        <v>139</v>
      </c>
      <c r="E3" s="813">
        <f>Zusatzeingaben!E2</f>
        <v>44774</v>
      </c>
      <c r="F3" s="809" t="s">
        <v>2158</v>
      </c>
      <c r="G3" s="814">
        <f>Zusatzeingaben!F2</f>
        <v>44804</v>
      </c>
      <c r="H3" s="811"/>
      <c r="I3" s="812"/>
      <c r="J3" s="1268"/>
      <c r="K3" s="1268"/>
    </row>
    <row r="4" spans="1:11">
      <c r="J4" s="1268"/>
      <c r="K4" s="1268"/>
    </row>
    <row r="5" spans="1:11" ht="23.25">
      <c r="A5" s="1319"/>
      <c r="B5" s="1320" t="s">
        <v>127</v>
      </c>
      <c r="C5" s="1316"/>
      <c r="D5" s="1316"/>
      <c r="E5" s="1316"/>
      <c r="F5" s="1316"/>
      <c r="G5" s="1316"/>
      <c r="H5" s="1316"/>
      <c r="I5" s="1321"/>
    </row>
    <row r="6" spans="1:11" ht="20.25" customHeight="1">
      <c r="A6" s="839"/>
      <c r="B6" s="1322" t="s">
        <v>246</v>
      </c>
      <c r="C6" s="1322" t="str">
        <f>Zusatzeingaben!C4</f>
        <v>Antragsteller</v>
      </c>
      <c r="D6" s="1322" t="str">
        <f>Zusatzeingaben!D4</f>
        <v>Partner(in)</v>
      </c>
      <c r="E6" s="1322" t="str">
        <f>Zusatzeingaben!E4</f>
        <v>Kind 1</v>
      </c>
      <c r="F6" s="1322" t="s">
        <v>145</v>
      </c>
      <c r="G6" s="1322" t="s">
        <v>146</v>
      </c>
      <c r="H6" s="1322" t="s">
        <v>147</v>
      </c>
      <c r="I6" s="1323" t="s">
        <v>148</v>
      </c>
    </row>
    <row r="7" spans="1:11">
      <c r="A7" s="839" t="s">
        <v>2159</v>
      </c>
      <c r="B7" s="1324">
        <f>Zusatzeingaben!B6</f>
        <v>1</v>
      </c>
      <c r="C7" s="841">
        <f>Zusatzeingaben!C6</f>
        <v>0</v>
      </c>
      <c r="D7" s="841">
        <f>Zusatzeingaben!D6</f>
        <v>0</v>
      </c>
      <c r="E7" s="841">
        <f>Zusatzeingaben!E6</f>
        <v>0</v>
      </c>
      <c r="F7" s="841">
        <f>Zusatzeingaben!F6</f>
        <v>0</v>
      </c>
      <c r="G7" s="841">
        <f>Zusatzeingaben!G6</f>
        <v>0</v>
      </c>
      <c r="H7" s="841">
        <f>Zusatzeingaben!H6</f>
        <v>0</v>
      </c>
      <c r="I7" s="842">
        <f>Zusatzeingaben!I6</f>
        <v>0</v>
      </c>
    </row>
    <row r="8" spans="1:11" hidden="1">
      <c r="A8" s="839" t="s">
        <v>2160</v>
      </c>
      <c r="B8" s="864"/>
      <c r="C8" s="1325" t="str">
        <f>Zusatzeingaben!E7</f>
        <v>nein</v>
      </c>
      <c r="D8" s="1325" t="str">
        <f>Zusatzeingaben!F7</f>
        <v>nein</v>
      </c>
      <c r="E8" s="1325"/>
      <c r="F8" s="1325"/>
      <c r="G8" s="1325"/>
      <c r="H8" s="1325"/>
      <c r="I8" s="1326"/>
    </row>
    <row r="9" spans="1:11">
      <c r="A9" s="839" t="s">
        <v>2161</v>
      </c>
      <c r="B9" s="889"/>
      <c r="C9" s="879">
        <f>Zusatzeingaben!C22</f>
        <v>0</v>
      </c>
      <c r="D9" s="879">
        <f>Zusatzeingaben!D22</f>
        <v>0</v>
      </c>
      <c r="E9" s="879">
        <f>IF(Zusatzeingaben!E16=0,Zusatzeingaben!E16,Zusatzeingaben!E22)</f>
        <v>0</v>
      </c>
      <c r="F9" s="879">
        <f>IF(Zusatzeingaben!F16=0,Zusatzeingaben!F16,Zusatzeingaben!F22)</f>
        <v>0</v>
      </c>
      <c r="G9" s="879">
        <f>IF(Zusatzeingaben!G16=0,Zusatzeingaben!G16,Zusatzeingaben!G22)</f>
        <v>0</v>
      </c>
      <c r="H9" s="879">
        <f>IF(Zusatzeingaben!H16=0,Zusatzeingaben!H16,Zusatzeingaben!H22)</f>
        <v>0</v>
      </c>
      <c r="I9" s="880">
        <f>IF(Zusatzeingaben!I16=0,Zusatzeingaben!I16,Zusatzeingaben!I22)</f>
        <v>0</v>
      </c>
    </row>
    <row r="10" spans="1:11">
      <c r="A10" s="854" t="s">
        <v>2162</v>
      </c>
      <c r="B10" s="1327"/>
      <c r="C10" s="1328" t="str">
        <f>Zusatzeingaben!C35</f>
        <v>ja</v>
      </c>
      <c r="D10" s="1328">
        <f>IF(Zusatzeingaben!D33&gt;0,Zusatzeingaben!D35,0)</f>
        <v>0</v>
      </c>
      <c r="E10" s="1328">
        <f>IF(Zusatzeingaben!E33&gt;0,Zusatzeingaben!E35,0)</f>
        <v>0</v>
      </c>
      <c r="F10" s="1328">
        <f>IF(Zusatzeingaben!F33&gt;0,Zusatzeingaben!F35,0)</f>
        <v>0</v>
      </c>
      <c r="G10" s="1328">
        <f>IF(Zusatzeingaben!G33&gt;0,Zusatzeingaben!G35,0)</f>
        <v>0</v>
      </c>
      <c r="H10" s="1328">
        <f>IF(Zusatzeingaben!H33&gt;0,Zusatzeingaben!H35,0)</f>
        <v>0</v>
      </c>
      <c r="I10" s="1329">
        <f>IF(Zusatzeingaben!I33&gt;0,Zusatzeingaben!I35,0)</f>
        <v>0</v>
      </c>
    </row>
    <row r="11" spans="1:11">
      <c r="A11" s="1330" t="s">
        <v>2163</v>
      </c>
      <c r="B11" s="1331">
        <f>SUM(C11:I11)</f>
        <v>449</v>
      </c>
      <c r="C11" s="1332">
        <f>Zusatzeingaben!C33</f>
        <v>449</v>
      </c>
      <c r="D11" s="1332">
        <f>Zusatzeingaben!D33</f>
        <v>0</v>
      </c>
      <c r="E11" s="1332">
        <f>Zusatzeingaben!E33</f>
        <v>0</v>
      </c>
      <c r="F11" s="1332">
        <f>Zusatzeingaben!F33</f>
        <v>0</v>
      </c>
      <c r="G11" s="1332">
        <f>Zusatzeingaben!G33</f>
        <v>0</v>
      </c>
      <c r="H11" s="1332">
        <f>Zusatzeingaben!H33</f>
        <v>0</v>
      </c>
      <c r="I11" s="1333">
        <f>Zusatzeingaben!I33</f>
        <v>0</v>
      </c>
    </row>
    <row r="12" spans="1:11">
      <c r="A12" s="1334" t="s">
        <v>2164</v>
      </c>
      <c r="B12" s="522"/>
      <c r="C12" s="1016"/>
      <c r="D12" s="1016"/>
      <c r="E12" s="1016"/>
      <c r="F12" s="1016"/>
      <c r="G12" s="1016"/>
      <c r="H12" s="1016"/>
      <c r="I12" s="1017"/>
    </row>
    <row r="13" spans="1:11">
      <c r="A13" s="976">
        <f>IF(B13&gt;0,"Schwangerschaft",0)</f>
        <v>0</v>
      </c>
      <c r="B13" s="1335">
        <f>SUM(C13:I13)</f>
        <v>0</v>
      </c>
      <c r="C13" s="522">
        <f>IF(OR(Zusatzeingaben!C37="",C10="nur Mehrbedarf"),0,Zusatzeingaben!C45)</f>
        <v>0</v>
      </c>
      <c r="D13" s="522">
        <f>IF(OR(Zusatzeingaben!D37="",D10="nur Mehrbedarf"),0,Zusatzeingaben!D45)</f>
        <v>0</v>
      </c>
      <c r="E13" s="522">
        <f>IF(Zusatzeingaben!E37="",0,Zusatzeingaben!E45)</f>
        <v>0</v>
      </c>
      <c r="F13" s="522"/>
      <c r="G13" s="522"/>
      <c r="H13" s="522"/>
      <c r="I13" s="523"/>
    </row>
    <row r="14" spans="1:11">
      <c r="A14" s="976">
        <f>IF(B14&gt;0,"Alleinerziehende",0)</f>
        <v>0</v>
      </c>
      <c r="B14" s="1335">
        <f>C14</f>
        <v>0</v>
      </c>
      <c r="C14" s="522">
        <f>IF(C10="nur Mehrbedarf",0,Zusatzeingaben!B46)</f>
        <v>0</v>
      </c>
      <c r="D14" s="522"/>
      <c r="E14" s="522"/>
      <c r="F14" s="522"/>
      <c r="G14" s="522"/>
      <c r="H14" s="522"/>
      <c r="I14" s="523"/>
    </row>
    <row r="15" spans="1:11">
      <c r="A15" s="976">
        <f>IF(B15&gt;0,"behinderter Mensch, Teilhabe",0)</f>
        <v>0</v>
      </c>
      <c r="B15" s="1335">
        <f>SUM(C15:I15)</f>
        <v>0</v>
      </c>
      <c r="C15" s="522">
        <f>IF(Zusatzeingaben!C34="ja",Zusatzeingaben!C92,0)</f>
        <v>0</v>
      </c>
      <c r="D15" s="522">
        <f>IF(Zusatzeingaben!D34="ja",Zusatzeingaben!D92,0)</f>
        <v>0</v>
      </c>
      <c r="E15" s="522">
        <f>IF(Zusatzeingaben!E34="ja",Zusatzeingaben!E92,0)</f>
        <v>0</v>
      </c>
      <c r="F15" s="522">
        <f>IF(Zusatzeingaben!F34="ja",Zusatzeingaben!F92,0)</f>
        <v>0</v>
      </c>
      <c r="G15" s="522">
        <f>IF(Zusatzeingaben!G34="ja",Zusatzeingaben!G92,0)</f>
        <v>0</v>
      </c>
      <c r="H15" s="522">
        <f>IF(Zusatzeingaben!H34="ja",Zusatzeingaben!H92,0)</f>
        <v>0</v>
      </c>
      <c r="I15" s="523">
        <f>IF(Zusatzeingaben!I34="ja",Zusatzeingaben!I92,0)</f>
        <v>0</v>
      </c>
    </row>
    <row r="16" spans="1:11">
      <c r="A16" s="976">
        <f>IF(B16&gt;0,"kostenaufwändige Ernährung",0)</f>
        <v>0</v>
      </c>
      <c r="B16" s="1335">
        <f>SUM(C16:I16)</f>
        <v>0</v>
      </c>
      <c r="C16" s="522">
        <f>IF(C10="nur Mehrbedarf",0,Zusatzeingaben!C93)</f>
        <v>0</v>
      </c>
      <c r="D16" s="522">
        <f>IF(D10="nur Mehrbedarf",0,Zusatzeingaben!D93)</f>
        <v>0</v>
      </c>
      <c r="E16" s="522">
        <f>Zusatzeingaben!E93</f>
        <v>0</v>
      </c>
      <c r="F16" s="522">
        <f>Zusatzeingaben!F93</f>
        <v>0</v>
      </c>
      <c r="G16" s="522">
        <f>Zusatzeingaben!G93</f>
        <v>0</v>
      </c>
      <c r="H16" s="522">
        <f>Zusatzeingaben!H93</f>
        <v>0</v>
      </c>
      <c r="I16" s="523">
        <f>Zusatzeingaben!I93</f>
        <v>0</v>
      </c>
    </row>
    <row r="17" spans="1:11">
      <c r="A17" s="976">
        <f>IF(B17&gt;0,"unabweisbarer, lfd., besond. Bedarf",0)</f>
        <v>0</v>
      </c>
      <c r="B17" s="1335">
        <f>SUM(C17:I17)</f>
        <v>0</v>
      </c>
      <c r="C17" s="522">
        <f>IF(C10="nur Mehrbedarf",0,Zusatzeingaben!C94)</f>
        <v>0</v>
      </c>
      <c r="D17" s="522">
        <f>IF(D10="nur Mehrbedarf",0,Zusatzeingaben!D94)</f>
        <v>0</v>
      </c>
      <c r="E17" s="522">
        <f>Zusatzeingaben!E94</f>
        <v>0</v>
      </c>
      <c r="F17" s="522">
        <f>Zusatzeingaben!F94</f>
        <v>0</v>
      </c>
      <c r="G17" s="522">
        <f>Zusatzeingaben!G94</f>
        <v>0</v>
      </c>
      <c r="H17" s="522">
        <f>Zusatzeingaben!H94</f>
        <v>0</v>
      </c>
      <c r="I17" s="523">
        <f>Zusatzeingaben!I94</f>
        <v>0</v>
      </c>
    </row>
    <row r="18" spans="1:11">
      <c r="A18" s="976">
        <f>IF(B18&gt;0,"Warmwasser dezentral",0)</f>
        <v>0</v>
      </c>
      <c r="B18" s="1335">
        <f>SUM(C18:I18)</f>
        <v>0</v>
      </c>
      <c r="C18" s="522">
        <f>Zusatzeingaben!C98</f>
        <v>0</v>
      </c>
      <c r="D18" s="522">
        <f>Zusatzeingaben!D98</f>
        <v>0</v>
      </c>
      <c r="E18" s="522">
        <f>Zusatzeingaben!E98</f>
        <v>0</v>
      </c>
      <c r="F18" s="522">
        <f>Zusatzeingaben!F98</f>
        <v>0</v>
      </c>
      <c r="G18" s="522">
        <f>Zusatzeingaben!G98</f>
        <v>0</v>
      </c>
      <c r="H18" s="522">
        <f>Zusatzeingaben!H98</f>
        <v>0</v>
      </c>
      <c r="I18" s="523">
        <f>Zusatzeingaben!I98</f>
        <v>0</v>
      </c>
    </row>
    <row r="19" spans="1:11">
      <c r="A19" s="976">
        <f>IF(B19&gt;0,"erwerbsunfähig, Merkzeichen G",0)</f>
        <v>0</v>
      </c>
      <c r="B19" s="1335">
        <f>SUM(C19:I19)</f>
        <v>0</v>
      </c>
      <c r="C19" s="522">
        <f>IF(Zusatzeingaben!C34="nein",Zusatzeingaben!C100,0)</f>
        <v>0</v>
      </c>
      <c r="D19" s="522">
        <f>IF(Zusatzeingaben!D34="nein",Zusatzeingaben!D100,0)</f>
        <v>0</v>
      </c>
      <c r="E19" s="522">
        <f>IF(Zusatzeingaben!E34="nein",Zusatzeingaben!E100,0)</f>
        <v>0</v>
      </c>
      <c r="F19" s="522">
        <f>IF(Zusatzeingaben!F34="nein",Zusatzeingaben!F100,0)</f>
        <v>0</v>
      </c>
      <c r="G19" s="522">
        <f>IF(Zusatzeingaben!G34="nein",Zusatzeingaben!G100,0)</f>
        <v>0</v>
      </c>
      <c r="H19" s="522">
        <f>IF(Zusatzeingaben!H34="nein",Zusatzeingaben!H100,0)</f>
        <v>0</v>
      </c>
      <c r="I19" s="523">
        <f>IF(Zusatzeingaben!I34="nein",Zusatzeingaben!I100,0)</f>
        <v>0</v>
      </c>
    </row>
    <row r="20" spans="1:11" ht="18" customHeight="1">
      <c r="A20" s="1336" t="s">
        <v>169</v>
      </c>
      <c r="B20" s="522"/>
      <c r="C20" s="518"/>
      <c r="D20" s="518"/>
      <c r="E20" s="518"/>
      <c r="F20" s="1016"/>
      <c r="G20" s="1016"/>
      <c r="H20" s="1016"/>
      <c r="I20" s="1017"/>
    </row>
    <row r="21" spans="1:11" hidden="1">
      <c r="A21" s="833"/>
      <c r="B21" s="522">
        <f>Zusatzeingaben!C102</f>
        <v>0</v>
      </c>
      <c r="C21" s="522">
        <f>B21/B7</f>
        <v>0</v>
      </c>
      <c r="D21" s="522">
        <f>IF(D9=0,0,B21/B7)</f>
        <v>0</v>
      </c>
      <c r="E21" s="522">
        <f>IF(Zusatzeingaben!E33=0,0,B21/B7)</f>
        <v>0</v>
      </c>
      <c r="F21" s="522">
        <f>IF(Zusatzeingaben!F33=0,0,B21/B7)</f>
        <v>0</v>
      </c>
      <c r="G21" s="522">
        <f>IF(Zusatzeingaben!G33=0,0,B21/B7)</f>
        <v>0</v>
      </c>
      <c r="H21" s="522">
        <f>IF(Zusatzeingaben!H33=0,0,B21/B7)</f>
        <v>0</v>
      </c>
      <c r="I21" s="523">
        <f>IF(Zusatzeingaben!I33=0,0,B21/B7)</f>
        <v>0</v>
      </c>
    </row>
    <row r="22" spans="1:11" hidden="1">
      <c r="A22" s="1337"/>
      <c r="B22" s="522">
        <f>SUM(C22:I22)</f>
        <v>0</v>
      </c>
      <c r="C22" s="522">
        <f>C21</f>
        <v>0</v>
      </c>
      <c r="D22" s="522">
        <f>D21</f>
        <v>0</v>
      </c>
      <c r="E22" s="522">
        <f>IF(Zusatzeingaben!E8&gt;Zusatzeingaben!E2,E21*Zusatzeingaben!E14/30,IF(Zusatzeingaben!E18=25,E21*Zusatzeingaben!E10/30,E21))</f>
        <v>0</v>
      </c>
      <c r="F22" s="522">
        <f>IF(Zusatzeingaben!F8&gt;Zusatzeingaben!E2,F21*Zusatzeingaben!F14/30,IF(Zusatzeingaben!F18=25,F21*Zusatzeingaben!F10/30,F21))</f>
        <v>0</v>
      </c>
      <c r="G22" s="522">
        <f>IF(Zusatzeingaben!G8&gt;Zusatzeingaben!E2,G21*Zusatzeingaben!G14/30,IF(Zusatzeingaben!G18=25,G21*Zusatzeingaben!G10/30,G21))</f>
        <v>0</v>
      </c>
      <c r="H22" s="522">
        <f>IF(Zusatzeingaben!H8&gt;Zusatzeingaben!E2,H21*Zusatzeingaben!H14/30,IF(Zusatzeingaben!H18=25,H21*Zusatzeingaben!H10/30,H21))</f>
        <v>0</v>
      </c>
      <c r="I22" s="523">
        <f>IF(Zusatzeingaben!I8&gt;Zusatzeingaben!E2,I21*Zusatzeingaben!I14/30,IF(Zusatzeingaben!I18=25,I21*Zusatzeingaben!I10/30,I21))</f>
        <v>0</v>
      </c>
      <c r="K22" s="1338">
        <f>COUNTIF(C22:I22,C22)</f>
        <v>7</v>
      </c>
    </row>
    <row r="23" spans="1:11" hidden="1">
      <c r="A23" s="833"/>
      <c r="B23" s="522">
        <f>SUM(C23:I23)</f>
        <v>0</v>
      </c>
      <c r="C23" s="522">
        <f>IF(AND(B22&lt;B21,C22=C21,C22&gt;0),C21+(B21-B22)/K22,C22)</f>
        <v>0</v>
      </c>
      <c r="D23" s="522">
        <f>IF(AND(B22&lt;B21,D22=D21,D22&gt;0),D21+(B21-B22)/K22,D22)</f>
        <v>0</v>
      </c>
      <c r="E23" s="522">
        <f>IF(AND(B22&lt;B21,E22=E21,E22&gt;0),E21+(B21-B22)/K22,E22)</f>
        <v>0</v>
      </c>
      <c r="F23" s="522">
        <f>IF(AND(B22&lt;B21,F22=F21,F22&gt;0),F21+(B21-B22)/K22,F22)</f>
        <v>0</v>
      </c>
      <c r="G23" s="522">
        <f>IF(AND(B22&lt;B21,G22=G21,G22&gt;0),G21+(B21-B22)/K22,G22)</f>
        <v>0</v>
      </c>
      <c r="H23" s="522">
        <f>IF(AND(B22&lt;B21,H22=H21,H22&gt;0),H21+(B21-B22)/K22,H22)</f>
        <v>0</v>
      </c>
      <c r="I23" s="523">
        <f>IF(AND(B22&lt;B21,I22=I21,I22&gt;0),I21+(B21-B22)/K22,I22)</f>
        <v>0</v>
      </c>
    </row>
    <row r="24" spans="1:11">
      <c r="A24" s="1339">
        <f>IF(B24&gt;0,Zusatzeingaben!A102,0)</f>
        <v>0</v>
      </c>
      <c r="B24" s="1335">
        <f>SUM(C24:I24)</f>
        <v>0</v>
      </c>
      <c r="C24" s="522">
        <f>IF(Zusatzeingaben!$K$18&gt;0,C22,C23)</f>
        <v>0</v>
      </c>
      <c r="D24" s="522">
        <f>IF(Zusatzeingaben!$K$18&gt;0,D22,D23)</f>
        <v>0</v>
      </c>
      <c r="E24" s="522">
        <f>IF(Zusatzeingaben!$K$18&gt;0,E22,E23)</f>
        <v>0</v>
      </c>
      <c r="F24" s="522">
        <f>IF(Zusatzeingaben!$K$18&gt;0,F22,F23)</f>
        <v>0</v>
      </c>
      <c r="G24" s="522">
        <f>IF(Zusatzeingaben!$K$18&gt;0,G22,G23)</f>
        <v>0</v>
      </c>
      <c r="H24" s="522">
        <f>IF(Zusatzeingaben!$K$18&gt;0,H22,H23)</f>
        <v>0</v>
      </c>
      <c r="I24" s="523">
        <f>IF(Zusatzeingaben!$K$18&gt;0,I22,I23)</f>
        <v>0</v>
      </c>
    </row>
    <row r="25" spans="1:11" hidden="1">
      <c r="A25" s="1340" t="str">
        <f>Zusatzeingaben!A103</f>
        <v>weitere Kosten</v>
      </c>
      <c r="B25" s="522">
        <f>Zusatzeingaben!C103</f>
        <v>0</v>
      </c>
      <c r="C25" s="522">
        <f>B25/B7</f>
        <v>0</v>
      </c>
      <c r="D25" s="522">
        <f>IF(D9="",0,B25/B7)</f>
        <v>0</v>
      </c>
      <c r="E25" s="522">
        <f>IF(E9="",0,B25/B7)</f>
        <v>0</v>
      </c>
      <c r="F25" s="522">
        <f>IF(F9="",0,B25/B7)</f>
        <v>0</v>
      </c>
      <c r="G25" s="522">
        <f>IF(G9="",0,B25/B7)</f>
        <v>0</v>
      </c>
      <c r="H25" s="522">
        <f>IF(H9="",0,B25/B7)</f>
        <v>0</v>
      </c>
      <c r="I25" s="523">
        <f>IF(I9="",0,B25/B7)</f>
        <v>0</v>
      </c>
    </row>
    <row r="26" spans="1:11" hidden="1">
      <c r="A26" s="1341"/>
      <c r="B26" s="522">
        <f>Zusatzeingaben!C104</f>
        <v>0</v>
      </c>
      <c r="C26" s="522">
        <f>B26/B7</f>
        <v>0</v>
      </c>
      <c r="D26" s="522">
        <f>IF(D9=0,0,B26/B7)</f>
        <v>0</v>
      </c>
      <c r="E26" s="522">
        <f>IF(Zusatzeingaben!E33=0,0,B26/B7)</f>
        <v>0</v>
      </c>
      <c r="F26" s="522">
        <f>IF(Zusatzeingaben!F33=0,0,B26/B7)</f>
        <v>0</v>
      </c>
      <c r="G26" s="522">
        <f>IF(Zusatzeingaben!G33=0,0,B26/B7)</f>
        <v>0</v>
      </c>
      <c r="H26" s="522">
        <f>IF(Zusatzeingaben!H33=0,0,B26/B7)</f>
        <v>0</v>
      </c>
      <c r="I26" s="523">
        <f>IF(Zusatzeingaben!I33=0,0,B26/B7)</f>
        <v>0</v>
      </c>
    </row>
    <row r="27" spans="1:11" hidden="1">
      <c r="A27" s="1339"/>
      <c r="B27" s="522">
        <f>SUM(C27:I27)</f>
        <v>0</v>
      </c>
      <c r="C27" s="522">
        <f>C26</f>
        <v>0</v>
      </c>
      <c r="D27" s="522">
        <f>D26</f>
        <v>0</v>
      </c>
      <c r="E27" s="522">
        <f>IF(Zusatzeingaben!E8&gt;Zusatzeingaben!E2,E26*Zusatzeingaben!E14/30,IF(Zusatzeingaben!E18=25,E26*Zusatzeingaben!E10/30,E26))</f>
        <v>0</v>
      </c>
      <c r="F27" s="522">
        <f>IF(Zusatzeingaben!F8&gt;Zusatzeingaben!E2,F26*Zusatzeingaben!F14/30,IF(Zusatzeingaben!F18=25,F26*Zusatzeingaben!F10/30,F26))</f>
        <v>0</v>
      </c>
      <c r="G27" s="522">
        <f>IF(Zusatzeingaben!G8&gt;Zusatzeingaben!E2,G26*Zusatzeingaben!G14/30,IF(Zusatzeingaben!G18=25,G26*Zusatzeingaben!G10/30,G26))</f>
        <v>0</v>
      </c>
      <c r="H27" s="522">
        <f>IF(Zusatzeingaben!H8&gt;Zusatzeingaben!E2,H26*Zusatzeingaben!H14/30,IF(Zusatzeingaben!H18=25,H26*Zusatzeingaben!H10/30,H26))</f>
        <v>0</v>
      </c>
      <c r="I27" s="523">
        <f>IF(Zusatzeingaben!I8&gt;Zusatzeingaben!E2,I26*Zusatzeingaben!I14/30,IF(Zusatzeingaben!I18=25,I26*Zusatzeingaben!I10/30,I26))</f>
        <v>0</v>
      </c>
      <c r="K27" s="1338">
        <f>COUNTIF(C27:I27,C27)</f>
        <v>7</v>
      </c>
    </row>
    <row r="28" spans="1:11" hidden="1">
      <c r="A28" s="1341"/>
      <c r="B28" s="522">
        <f>SUM(C28:I28)</f>
        <v>0</v>
      </c>
      <c r="C28" s="522">
        <f>IF(AND(B27&lt;B26,C27=C26,C27&gt;0),C26+(B26-B27)/K27,C27)</f>
        <v>0</v>
      </c>
      <c r="D28" s="522">
        <f>IF(AND(B27&lt;B26,D27=D26,D27&gt;0),D26+(B26-B27)/K27,D27)</f>
        <v>0</v>
      </c>
      <c r="E28" s="522">
        <f>IF(AND(B27&lt;B26,E27=E26,E27&gt;0),E26+(B26-B27)/K27,E27)</f>
        <v>0</v>
      </c>
      <c r="F28" s="522">
        <f>IF(AND(B27&lt;B26,F27=F26,F27&gt;0),F26+(B26-B27)/K27,F27)</f>
        <v>0</v>
      </c>
      <c r="G28" s="522">
        <f>IF(AND(B27&lt;B26,G27=G26,G27&gt;0),G26+(B26-B27)/K27,G27)</f>
        <v>0</v>
      </c>
      <c r="H28" s="522">
        <f>IF(AND(B27&lt;B26,H27=H26,H27&gt;0),H26+(B26-B27)/K27,H27)</f>
        <v>0</v>
      </c>
      <c r="I28" s="523">
        <f>IF(AND(B27&lt;B26,I27=I26,I27&gt;0),I26+(B26-B27)/K27,I27)</f>
        <v>0</v>
      </c>
    </row>
    <row r="29" spans="1:11">
      <c r="A29" s="1339">
        <f>IF(B29&gt;0,Zusatzeingaben!A104,0)</f>
        <v>0</v>
      </c>
      <c r="B29" s="1335">
        <f>SUM(C29:I29)</f>
        <v>0</v>
      </c>
      <c r="C29" s="522">
        <f>IF(Zusatzeingaben!$K$18&gt;0,C27,C28)</f>
        <v>0</v>
      </c>
      <c r="D29" s="522">
        <f>IF(Zusatzeingaben!$K$18&gt;0,D27,D28)</f>
        <v>0</v>
      </c>
      <c r="E29" s="522">
        <f>IF(Zusatzeingaben!$K$18&gt;0,E27,E28)</f>
        <v>0</v>
      </c>
      <c r="F29" s="522">
        <f>IF(Zusatzeingaben!$K$18&gt;0,F27,F28)</f>
        <v>0</v>
      </c>
      <c r="G29" s="522">
        <f>IF(Zusatzeingaben!$K$18&gt;0,G27,G28)</f>
        <v>0</v>
      </c>
      <c r="H29" s="522">
        <f>IF(Zusatzeingaben!$K$18&gt;0,H27,H28)</f>
        <v>0</v>
      </c>
      <c r="I29" s="523">
        <f>IF(Zusatzeingaben!$K$18&gt;0,I27,I28)</f>
        <v>0</v>
      </c>
    </row>
    <row r="30" spans="1:11" hidden="1">
      <c r="A30" s="1341"/>
      <c r="B30" s="522">
        <f>Zusatzeingaben!C105</f>
        <v>0</v>
      </c>
      <c r="C30" s="522">
        <f>B30/B7</f>
        <v>0</v>
      </c>
      <c r="D30" s="522">
        <f>IF(D9=0,0,B30/B7)</f>
        <v>0</v>
      </c>
      <c r="E30" s="522">
        <f>IF(Zusatzeingaben!E33=0,0,B30/B7)</f>
        <v>0</v>
      </c>
      <c r="F30" s="522">
        <f>IF(Zusatzeingaben!F33=0,0,B30/B7)</f>
        <v>0</v>
      </c>
      <c r="G30" s="522">
        <f>IF(Zusatzeingaben!G33=0,0,B30/B7)</f>
        <v>0</v>
      </c>
      <c r="H30" s="522">
        <f>IF(Zusatzeingaben!H33=0,0,B30/B7)</f>
        <v>0</v>
      </c>
      <c r="I30" s="523">
        <f>IF(Zusatzeingaben!I33=0,0,B30/B7)</f>
        <v>0</v>
      </c>
    </row>
    <row r="31" spans="1:11" hidden="1">
      <c r="A31" s="1339"/>
      <c r="B31" s="522">
        <f>SUM(C31:I31)</f>
        <v>0</v>
      </c>
      <c r="C31" s="522">
        <f>C30</f>
        <v>0</v>
      </c>
      <c r="D31" s="522">
        <f>D30</f>
        <v>0</v>
      </c>
      <c r="E31" s="522">
        <f>IF(Zusatzeingaben!E8&gt;Zusatzeingaben!E2,E30*Zusatzeingaben!E14/30,IF(Zusatzeingaben!E18=25,E30*Zusatzeingaben!E10/30,E30))</f>
        <v>0</v>
      </c>
      <c r="F31" s="522">
        <f>IF(Zusatzeingaben!F8&gt;Zusatzeingaben!E2,F30*Zusatzeingaben!F14/30,IF(Zusatzeingaben!F18=25,F30*Zusatzeingaben!F10/30,F30))</f>
        <v>0</v>
      </c>
      <c r="G31" s="522">
        <f>IF(Zusatzeingaben!G8&gt;Zusatzeingaben!E2,G30*Zusatzeingaben!G14/30,IF(Zusatzeingaben!G18=25,G30*Zusatzeingaben!G10/30,G30))</f>
        <v>0</v>
      </c>
      <c r="H31" s="522">
        <f>IF(Zusatzeingaben!H8&gt;Zusatzeingaben!E2,H30*Zusatzeingaben!H14/30,IF(Zusatzeingaben!H18=25,H30*Zusatzeingaben!H10/30,H30))</f>
        <v>0</v>
      </c>
      <c r="I31" s="523">
        <f>IF(Zusatzeingaben!I8&gt;Zusatzeingaben!E2,I30*Zusatzeingaben!I14/30,IF(Zusatzeingaben!I18=25,I30*Zusatzeingaben!I10/30,I30))</f>
        <v>0</v>
      </c>
      <c r="K31" s="1338">
        <f>COUNTIF(C31:I31,C31)</f>
        <v>7</v>
      </c>
    </row>
    <row r="32" spans="1:11" hidden="1">
      <c r="A32" s="1341"/>
      <c r="B32" s="522">
        <f>SUM(C32:I32)</f>
        <v>0</v>
      </c>
      <c r="C32" s="522">
        <f>IF(AND(B31&lt;B30,C31=C30,C31&gt;0),C30+(B30-B31)/K31,C31)</f>
        <v>0</v>
      </c>
      <c r="D32" s="522">
        <f>IF(AND(B31&lt;B30,D31=D30,D31&gt;0),D30+(B30-B31)/K31,D31)</f>
        <v>0</v>
      </c>
      <c r="E32" s="522">
        <f>IF(AND(B31&lt;B30,E31=E30,E31&gt;0),E30+(B30-B31)/K31,E31)</f>
        <v>0</v>
      </c>
      <c r="F32" s="522">
        <f>IF(AND(B31&lt;B30,F31=F30,F31&gt;0),F30+(B30-B31)/K31,F31)</f>
        <v>0</v>
      </c>
      <c r="G32" s="522">
        <f>IF(AND(B31&lt;B30,G31=G30,G31&gt;0),G30+(B30-B31)/K31,G31)</f>
        <v>0</v>
      </c>
      <c r="H32" s="522">
        <f>IF(AND(B31&lt;B30,H31=H30,H31&gt;0),H30+(B30-B31)/K31,H31)</f>
        <v>0</v>
      </c>
      <c r="I32" s="523">
        <f>IF(AND(B31&lt;B30,I31=I30,I31&gt;0),I30+(B30-B31)/K31,I31)</f>
        <v>0</v>
      </c>
    </row>
    <row r="33" spans="1:11">
      <c r="A33" s="1339">
        <f>IF(B33&gt;0,Zusatzeingaben!A105,0)</f>
        <v>0</v>
      </c>
      <c r="B33" s="1335">
        <f>SUM(C33:I33)</f>
        <v>0</v>
      </c>
      <c r="C33" s="522">
        <f>IF(Zusatzeingaben!$K$18&gt;0,C31,C32)</f>
        <v>0</v>
      </c>
      <c r="D33" s="522">
        <f>IF(Zusatzeingaben!$K$18&gt;0,D31,D32)</f>
        <v>0</v>
      </c>
      <c r="E33" s="522">
        <f>IF(Zusatzeingaben!$K$18&gt;0,E31,E32)</f>
        <v>0</v>
      </c>
      <c r="F33" s="522">
        <f>IF(Zusatzeingaben!$K$18&gt;0,F31,F32)</f>
        <v>0</v>
      </c>
      <c r="G33" s="522">
        <f>IF(Zusatzeingaben!$K$18&gt;0,G31,G32)</f>
        <v>0</v>
      </c>
      <c r="H33" s="522">
        <f>IF(Zusatzeingaben!$K$18&gt;0,H31,H32)</f>
        <v>0</v>
      </c>
      <c r="I33" s="523">
        <f>IF(Zusatzeingaben!$K$18&gt;0,I31,I32)</f>
        <v>0</v>
      </c>
    </row>
    <row r="34" spans="1:11" hidden="1">
      <c r="A34" s="1341"/>
      <c r="B34" s="522">
        <f>Zusatzeingaben!C106</f>
        <v>0</v>
      </c>
      <c r="C34" s="522">
        <f>B34/B7</f>
        <v>0</v>
      </c>
      <c r="D34" s="522">
        <f>IF(D9=0,0,B34/B7)</f>
        <v>0</v>
      </c>
      <c r="E34" s="522">
        <f>IF(Zusatzeingaben!E33=0,0,B34/B7)</f>
        <v>0</v>
      </c>
      <c r="F34" s="522">
        <f>IF(Zusatzeingaben!F33=0,0,B34/B7)</f>
        <v>0</v>
      </c>
      <c r="G34" s="522">
        <f>IF(Zusatzeingaben!G33=0,0,B34/B7)</f>
        <v>0</v>
      </c>
      <c r="H34" s="522">
        <f>IF(Zusatzeingaben!H33=0,0,B34/B7)</f>
        <v>0</v>
      </c>
      <c r="I34" s="523">
        <f>IF(Zusatzeingaben!I33=0,0,B34/B7)</f>
        <v>0</v>
      </c>
    </row>
    <row r="35" spans="1:11" hidden="1">
      <c r="A35" s="1339"/>
      <c r="B35" s="522">
        <f t="shared" ref="B35:B42" si="0">SUM(C35:I35)</f>
        <v>0</v>
      </c>
      <c r="C35" s="522">
        <f>C34</f>
        <v>0</v>
      </c>
      <c r="D35" s="522">
        <f>D34</f>
        <v>0</v>
      </c>
      <c r="E35" s="522">
        <f>IF(Zusatzeingaben!E8&gt;Zusatzeingaben!E2,E34*Zusatzeingaben!E14/30,IF(Zusatzeingaben!E18=25,E34*Zusatzeingaben!E10/30,E34))</f>
        <v>0</v>
      </c>
      <c r="F35" s="522">
        <f>IF(Zusatzeingaben!F8&gt;Zusatzeingaben!E2,F34*Zusatzeingaben!F14/30,IF(Zusatzeingaben!F18=25,F34*Zusatzeingaben!F10/30,F34))</f>
        <v>0</v>
      </c>
      <c r="G35" s="522">
        <f>IF(Zusatzeingaben!G8&gt;Zusatzeingaben!E2,G34*Zusatzeingaben!G14/30,IF(Zusatzeingaben!G18=25,G34*Zusatzeingaben!G10/30,G34))</f>
        <v>0</v>
      </c>
      <c r="H35" s="522">
        <f>IF(Zusatzeingaben!H8&gt;Zusatzeingaben!E2,H34*Zusatzeingaben!H14/30,IF(Zusatzeingaben!H18=25,H34*Zusatzeingaben!H10/30,H34))</f>
        <v>0</v>
      </c>
      <c r="I35" s="523">
        <f>IF(Zusatzeingaben!I8&gt;Zusatzeingaben!E2,I34*Zusatzeingaben!I14/30,IF(Zusatzeingaben!I18=25,I34*Zusatzeingaben!I10/30,I34))</f>
        <v>0</v>
      </c>
      <c r="K35" s="1338">
        <f>COUNTIF(C35:I35,C35)</f>
        <v>7</v>
      </c>
    </row>
    <row r="36" spans="1:11" hidden="1">
      <c r="A36" s="1341"/>
      <c r="B36" s="522">
        <f t="shared" si="0"/>
        <v>0</v>
      </c>
      <c r="C36" s="522">
        <f>IF(AND(B35&lt;B34,C35=C34,C35&gt;0),C34+(B34-B35)/K35,C35)</f>
        <v>0</v>
      </c>
      <c r="D36" s="522">
        <f>IF(AND(B35&lt;B34,D35=D34,D35&gt;0),D34+(B34-B35)/K35,D35)</f>
        <v>0</v>
      </c>
      <c r="E36" s="522">
        <f>IF(AND(B35&lt;B34,E35=E34,E35&gt;0),E34+(B34-B35)/K35,E35)</f>
        <v>0</v>
      </c>
      <c r="F36" s="522">
        <f>IF(AND(B35&lt;B34,F35=F34,F35&gt;0),F34+(B34-B35)/K35,F35)</f>
        <v>0</v>
      </c>
      <c r="G36" s="522">
        <f>IF(AND(B35&lt;B34,G35=G34,G35&gt;0),G34+(B34-B35)/K35,G35)</f>
        <v>0</v>
      </c>
      <c r="H36" s="522">
        <f>IF(AND(B35&lt;B34,H35=H34,H35&gt;0),H34+(B34-B35)/K35,H35)</f>
        <v>0</v>
      </c>
      <c r="I36" s="523">
        <f>IF(AND(B35&lt;B34,I35=I34,I35&gt;0),I34+(B34-B35)/K35,I35)</f>
        <v>0</v>
      </c>
    </row>
    <row r="37" spans="1:11">
      <c r="A37" s="1339">
        <f>IF(B37&gt;0,Zusatzeingaben!A106,0)</f>
        <v>0</v>
      </c>
      <c r="B37" s="1335">
        <f t="shared" si="0"/>
        <v>0</v>
      </c>
      <c r="C37" s="522">
        <f>IF(Zusatzeingaben!$K$18&gt;0,C35,C36)</f>
        <v>0</v>
      </c>
      <c r="D37" s="522">
        <f>IF(Zusatzeingaben!$K$18&gt;0,D35,D36)</f>
        <v>0</v>
      </c>
      <c r="E37" s="522">
        <f>IF(Zusatzeingaben!$K$18&gt;0,E35,E36)</f>
        <v>0</v>
      </c>
      <c r="F37" s="522">
        <f>IF(Zusatzeingaben!$K$18&gt;0,F35,F36)</f>
        <v>0</v>
      </c>
      <c r="G37" s="522">
        <f>IF(Zusatzeingaben!$K$18&gt;0,G35,G36)</f>
        <v>0</v>
      </c>
      <c r="H37" s="522">
        <f>IF(Zusatzeingaben!$K$18&gt;0,H35,H36)</f>
        <v>0</v>
      </c>
      <c r="I37" s="523">
        <f>IF(Zusatzeingaben!$K$18&gt;0,I35,I36)</f>
        <v>0</v>
      </c>
    </row>
    <row r="38" spans="1:11" hidden="1">
      <c r="A38" s="1339"/>
      <c r="B38" s="522">
        <f t="shared" si="0"/>
        <v>0</v>
      </c>
      <c r="C38" s="522">
        <f>Zusatzeingaben!C114</f>
        <v>0</v>
      </c>
      <c r="D38" s="522">
        <f>Zusatzeingaben!D114</f>
        <v>0</v>
      </c>
      <c r="E38" s="522">
        <f>Zusatzeingaben!E114</f>
        <v>0</v>
      </c>
      <c r="F38" s="522">
        <f>Zusatzeingaben!F114</f>
        <v>0</v>
      </c>
      <c r="G38" s="522">
        <f>Zusatzeingaben!G114</f>
        <v>0</v>
      </c>
      <c r="H38" s="522">
        <f>Zusatzeingaben!H114</f>
        <v>0</v>
      </c>
      <c r="I38" s="523">
        <f>Zusatzeingaben!I114</f>
        <v>0</v>
      </c>
    </row>
    <row r="39" spans="1:11" hidden="1">
      <c r="A39" s="1339"/>
      <c r="B39" s="522">
        <f t="shared" si="0"/>
        <v>0</v>
      </c>
      <c r="C39" s="522">
        <f>C38</f>
        <v>0</v>
      </c>
      <c r="D39" s="522">
        <f>D38</f>
        <v>0</v>
      </c>
      <c r="E39" s="522">
        <f>IF(Zusatzeingaben!E8&gt;Zusatzeingaben!$E$2,E38*Zusatzeingaben!E14/30,IF(Zusatzeingaben!E18=25,E38*Zusatzeingaben!E10/30,E38))</f>
        <v>0</v>
      </c>
      <c r="F39" s="522">
        <f>IF(Zusatzeingaben!F8&gt;Zusatzeingaben!$E$2,F38*Zusatzeingaben!F14/30,IF(Zusatzeingaben!F18=25,F38*Zusatzeingaben!F10/30,F38))</f>
        <v>0</v>
      </c>
      <c r="G39" s="522">
        <f>IF(Zusatzeingaben!G8&gt;Zusatzeingaben!$E$2,G38*Zusatzeingaben!G14/30,IF(Zusatzeingaben!G18=25,G38*Zusatzeingaben!G10/30,G38))</f>
        <v>0</v>
      </c>
      <c r="H39" s="522">
        <f>IF(Zusatzeingaben!H8&gt;Zusatzeingaben!$E$2,H38*Zusatzeingaben!H14/30,IF(Zusatzeingaben!H18=25,H38*Zusatzeingaben!H10/30,H38))</f>
        <v>0</v>
      </c>
      <c r="I39" s="523">
        <f>IF(Zusatzeingaben!I8&gt;Zusatzeingaben!$E$2,I38*Zusatzeingaben!I14/30,IF(Zusatzeingaben!I18=25,I38*Zusatzeingaben!I10/30,I38))</f>
        <v>0</v>
      </c>
      <c r="K39" s="1338">
        <f>COUNTIF(C39:I39,C39)</f>
        <v>7</v>
      </c>
    </row>
    <row r="40" spans="1:11" hidden="1">
      <c r="A40" s="1339"/>
      <c r="B40" s="522">
        <f t="shared" si="0"/>
        <v>0</v>
      </c>
      <c r="C40" s="522">
        <f>IF(AND(B39&lt;B38,C39=C38,C39&gt;0),C38+(B38-B39)/K39,C39)</f>
        <v>0</v>
      </c>
      <c r="D40" s="522">
        <f>IF(AND(B39&lt;B38,D39=D38,D39&gt;0),D38+(B38-B39)/K39,D39)</f>
        <v>0</v>
      </c>
      <c r="E40" s="522">
        <f>IF(AND(B39&lt;B38,E39=E38,E39&gt;0),E38+(B38-B39)/K39,E39)</f>
        <v>0</v>
      </c>
      <c r="F40" s="522">
        <f>IF(AND(B39&lt;B38,F39=F38,F39&gt;0),F38+(B38-B39)/K39,F39)</f>
        <v>0</v>
      </c>
      <c r="G40" s="522">
        <f>IF(AND(B39&lt;B38,G39=G38,G39&gt;0),G38+(B38-B39)/K39,G39)</f>
        <v>0</v>
      </c>
      <c r="H40" s="522">
        <f>IF(AND(B39&lt;B38,H39=H38,H39&gt;0),H38+(B38-B39)/K39,H39)</f>
        <v>0</v>
      </c>
      <c r="I40" s="523">
        <f>IF(AND(B39&lt;B38,I39=I38,I39&gt;0),I38+(B38-B39)/K39,I39)</f>
        <v>0</v>
      </c>
    </row>
    <row r="41" spans="1:11" hidden="1">
      <c r="A41" s="1341"/>
      <c r="B41" s="522">
        <f t="shared" si="0"/>
        <v>0</v>
      </c>
      <c r="C41" s="522">
        <f>IF(Zusatzeingaben!$B$107&gt;0,C40,Zusatzeingaben!C114)</f>
        <v>0</v>
      </c>
      <c r="D41" s="522">
        <f>IF(Zusatzeingaben!$B$107&gt;0,D40,Zusatzeingaben!D114)</f>
        <v>0</v>
      </c>
      <c r="E41" s="522">
        <f>IF(Zusatzeingaben!$B$107&gt;0,E40,Zusatzeingaben!E114)</f>
        <v>0</v>
      </c>
      <c r="F41" s="522">
        <f>IF(Zusatzeingaben!$B$107&gt;0,F40,Zusatzeingaben!F114)</f>
        <v>0</v>
      </c>
      <c r="G41" s="522">
        <f>IF(Zusatzeingaben!$B$107&gt;0,G40,Zusatzeingaben!G114)</f>
        <v>0</v>
      </c>
      <c r="H41" s="522">
        <f>IF(Zusatzeingaben!$B$107&gt;0,H40,Zusatzeingaben!H114)</f>
        <v>0</v>
      </c>
      <c r="I41" s="523">
        <f>IF(Zusatzeingaben!$B$107&gt;0,I40,Zusatzeingaben!I114)</f>
        <v>0</v>
      </c>
    </row>
    <row r="42" spans="1:11">
      <c r="A42" s="1339">
        <f>IF(B42&gt;0,"./. Kostenanteil für Haushaltsstrom",0)</f>
        <v>0</v>
      </c>
      <c r="B42" s="1335">
        <f t="shared" si="0"/>
        <v>0</v>
      </c>
      <c r="C42" s="522">
        <f>IF(AND(Zusatzeingaben!$K$18&gt;0,Zusatzeingaben!$B$107&gt;0),C39,C41)</f>
        <v>0</v>
      </c>
      <c r="D42" s="522">
        <f>IF(AND(Zusatzeingaben!$K$18&gt;0,Zusatzeingaben!$B$107&gt;0),D39,D41)</f>
        <v>0</v>
      </c>
      <c r="E42" s="522">
        <f>IF(AND(Zusatzeingaben!$K$18&gt;0,Zusatzeingaben!$B$107&gt;0),E39,E41)</f>
        <v>0</v>
      </c>
      <c r="F42" s="522">
        <f>IF(AND(Zusatzeingaben!$K$18&gt;0,Zusatzeingaben!$B$107&gt;0),F39,F41)</f>
        <v>0</v>
      </c>
      <c r="G42" s="522">
        <f>IF(AND(Zusatzeingaben!$K$18&gt;0,Zusatzeingaben!$B$107&gt;0),G39,G41)</f>
        <v>0</v>
      </c>
      <c r="H42" s="522">
        <f>IF(AND(Zusatzeingaben!$K$18&gt;0,Zusatzeingaben!$B$107&gt;0),H39,H41)</f>
        <v>0</v>
      </c>
      <c r="I42" s="523">
        <f>IF(AND(Zusatzeingaben!$K$18&gt;0,Zusatzeingaben!$B$107&gt;0),I39,I41)</f>
        <v>0</v>
      </c>
    </row>
    <row r="43" spans="1:11" hidden="1">
      <c r="A43" s="1341"/>
      <c r="B43" s="522">
        <f>Zusatzeingaben!C115</f>
        <v>0</v>
      </c>
      <c r="C43" s="522">
        <f>B43/B7</f>
        <v>0</v>
      </c>
      <c r="D43" s="522">
        <f>IF(D9=0,0,B43/B7)</f>
        <v>0</v>
      </c>
      <c r="E43" s="522">
        <f>IF(Zusatzeingaben!E33=0,0,B43/B7)</f>
        <v>0</v>
      </c>
      <c r="F43" s="522">
        <f>IF(Zusatzeingaben!F33=0,0,B43/B7)</f>
        <v>0</v>
      </c>
      <c r="G43" s="522">
        <f>IF(Zusatzeingaben!G33=0,0,B43/B7)</f>
        <v>0</v>
      </c>
      <c r="H43" s="522">
        <f>IF(Zusatzeingaben!H33=0,0,B43/B7)</f>
        <v>0</v>
      </c>
      <c r="I43" s="523">
        <f>IF(Zusatzeingaben!I33=0,0,B43/B7)</f>
        <v>0</v>
      </c>
    </row>
    <row r="44" spans="1:11" hidden="1">
      <c r="A44" s="1339"/>
      <c r="B44" s="522">
        <f>SUM(C44:I44)</f>
        <v>0</v>
      </c>
      <c r="C44" s="522">
        <f>C43</f>
        <v>0</v>
      </c>
      <c r="D44" s="522">
        <f>D43</f>
        <v>0</v>
      </c>
      <c r="E44" s="522">
        <f>IF(Zusatzeingaben!E8&gt;Zusatzeingaben!E2,E43*Zusatzeingaben!E14/30,IF(Zusatzeingaben!E18=25,E43*Zusatzeingaben!E10/30,E43))</f>
        <v>0</v>
      </c>
      <c r="F44" s="522">
        <f>IF(Zusatzeingaben!F8&gt;Zusatzeingaben!E2,F43*Zusatzeingaben!F14/30,IF(Zusatzeingaben!F18=25,F43*Zusatzeingaben!F10/30,F43))</f>
        <v>0</v>
      </c>
      <c r="G44" s="522">
        <f>IF(Zusatzeingaben!G8&gt;Zusatzeingaben!E2,G43*Zusatzeingaben!G14/30,IF(Zusatzeingaben!G18=25,G43*Zusatzeingaben!G10/30,G43))</f>
        <v>0</v>
      </c>
      <c r="H44" s="522">
        <f>IF(Zusatzeingaben!H8&gt;Zusatzeingaben!E2,H43*Zusatzeingaben!H14/30,IF(Zusatzeingaben!H18=25,H43*Zusatzeingaben!H10/30,H43))</f>
        <v>0</v>
      </c>
      <c r="I44" s="523">
        <f>IF(Zusatzeingaben!I8&gt;Zusatzeingaben!E2,I43*Zusatzeingaben!I14/30,IF(Zusatzeingaben!I18=25,I43*Zusatzeingaben!I10/30,I43))</f>
        <v>0</v>
      </c>
      <c r="K44" s="1338">
        <f>COUNTIF(C44:I44,C44)</f>
        <v>7</v>
      </c>
    </row>
    <row r="45" spans="1:11" hidden="1">
      <c r="A45" s="1341"/>
      <c r="B45" s="522">
        <f>SUM(C45:I45)</f>
        <v>0</v>
      </c>
      <c r="C45" s="522">
        <f>IF(AND(B44&lt;B43,C44=C43,C44&gt;0),C43+(B43-B44)/K44,C44)</f>
        <v>0</v>
      </c>
      <c r="D45" s="522">
        <f>IF(AND(B44&lt;B43,D44=D43,D44&gt;0),D43+(B43-B44)/K44,D44)</f>
        <v>0</v>
      </c>
      <c r="E45" s="522">
        <f>IF(AND(B44&lt;B43,E44=E43,E44&gt;0),E43+(B43-B44)/K44,E44)</f>
        <v>0</v>
      </c>
      <c r="F45" s="522">
        <f>IF(AND(B44&lt;B43,F44=F43,F44&gt;0),F43+(B43-B44)/K44,F44)</f>
        <v>0</v>
      </c>
      <c r="G45" s="522">
        <f>IF(AND(B44&lt;B43,G44=G43,G44&gt;0),G43+(B43-B44)/K44,G44)</f>
        <v>0</v>
      </c>
      <c r="H45" s="522">
        <f>IF(AND(B44&lt;B43,H44=H43,H44&gt;0),H43+(B43-B44)/K44,H44)</f>
        <v>0</v>
      </c>
      <c r="I45" s="523">
        <f>IF(AND(B44&lt;B43,I44=I43,I44&gt;0),I43+(B43-B44)/K44,I44)</f>
        <v>0</v>
      </c>
    </row>
    <row r="46" spans="1:11">
      <c r="A46" s="1339">
        <f>IF(B46&gt;0,"Heizkosten",0)</f>
        <v>0</v>
      </c>
      <c r="B46" s="1335">
        <f>SUM(C46:I46)</f>
        <v>0</v>
      </c>
      <c r="C46" s="522">
        <f>IF(Zusatzeingaben!$K$18&gt;0,C44,C45)</f>
        <v>0</v>
      </c>
      <c r="D46" s="522">
        <f>IF(Zusatzeingaben!$K$18&gt;0,D44,D45)</f>
        <v>0</v>
      </c>
      <c r="E46" s="522">
        <f>IF(Zusatzeingaben!$K$18&gt;0,E44,E45)</f>
        <v>0</v>
      </c>
      <c r="F46" s="522">
        <f>IF(Zusatzeingaben!$K$18&gt;0,F44,F45)</f>
        <v>0</v>
      </c>
      <c r="G46" s="522">
        <f>IF(Zusatzeingaben!$K$18&gt;0,G44,G45)</f>
        <v>0</v>
      </c>
      <c r="H46" s="522">
        <f>IF(Zusatzeingaben!$K$18&gt;0,H44,H45)</f>
        <v>0</v>
      </c>
      <c r="I46" s="523">
        <f>IF(Zusatzeingaben!$K$18&gt;0,I44,I45)</f>
        <v>0</v>
      </c>
    </row>
    <row r="47" spans="1:11" hidden="1">
      <c r="A47" s="1342" t="s">
        <v>2165</v>
      </c>
      <c r="B47" s="1343">
        <f t="shared" ref="B47:I47" si="1">B24-B29+B33+B37-B42+B46</f>
        <v>0</v>
      </c>
      <c r="C47" s="1343">
        <f t="shared" si="1"/>
        <v>0</v>
      </c>
      <c r="D47" s="1343">
        <f t="shared" si="1"/>
        <v>0</v>
      </c>
      <c r="E47" s="1343">
        <f t="shared" si="1"/>
        <v>0</v>
      </c>
      <c r="F47" s="1343">
        <f t="shared" si="1"/>
        <v>0</v>
      </c>
      <c r="G47" s="1343">
        <f t="shared" si="1"/>
        <v>0</v>
      </c>
      <c r="H47" s="1343">
        <f t="shared" si="1"/>
        <v>0</v>
      </c>
      <c r="I47" s="1344">
        <f t="shared" si="1"/>
        <v>0</v>
      </c>
    </row>
    <row r="48" spans="1:11" ht="17.25" customHeight="1">
      <c r="A48" s="1345">
        <f>IF(B49&gt;0,"Sonstiger Bedarf",0)</f>
        <v>0</v>
      </c>
      <c r="B48" s="1346"/>
      <c r="C48" s="1347"/>
      <c r="D48" s="1347"/>
      <c r="E48" s="1347"/>
      <c r="F48" s="1347"/>
      <c r="G48" s="1347"/>
      <c r="H48" s="1347"/>
      <c r="I48" s="1348"/>
    </row>
    <row r="49" spans="1:9" ht="16.5" customHeight="1">
      <c r="A49" s="1349">
        <f>IF(B49&gt;0,Zusatzeingaben!A117,0)</f>
        <v>0</v>
      </c>
      <c r="B49" s="1350">
        <f>SUM(C49:I49)</f>
        <v>0</v>
      </c>
      <c r="C49" s="1351">
        <f>Zusatzeingaben!C117</f>
        <v>0</v>
      </c>
      <c r="D49" s="1351">
        <f>Zusatzeingaben!D117</f>
        <v>0</v>
      </c>
      <c r="E49" s="1351">
        <f>Zusatzeingaben!E117</f>
        <v>0</v>
      </c>
      <c r="F49" s="1351">
        <f>Zusatzeingaben!F117</f>
        <v>0</v>
      </c>
      <c r="G49" s="1351">
        <f>Zusatzeingaben!G117</f>
        <v>0</v>
      </c>
      <c r="H49" s="1351">
        <f>Zusatzeingaben!H117</f>
        <v>0</v>
      </c>
      <c r="I49" s="1352">
        <f>Zusatzeingaben!I117</f>
        <v>0</v>
      </c>
    </row>
    <row r="50" spans="1:9" ht="23.25" customHeight="1">
      <c r="A50" s="1353" t="s">
        <v>2166</v>
      </c>
      <c r="B50" s="1354">
        <f>SUM(C50:I50)</f>
        <v>449</v>
      </c>
      <c r="C50" s="1354">
        <f t="shared" ref="C50:I50" si="2">C11+C13+C14+C15+C16+C17+C18+C19+C47+C49</f>
        <v>449</v>
      </c>
      <c r="D50" s="1354">
        <f t="shared" si="2"/>
        <v>0</v>
      </c>
      <c r="E50" s="1354">
        <f t="shared" si="2"/>
        <v>0</v>
      </c>
      <c r="F50" s="1354">
        <f t="shared" si="2"/>
        <v>0</v>
      </c>
      <c r="G50" s="1354">
        <f t="shared" si="2"/>
        <v>0</v>
      </c>
      <c r="H50" s="1354">
        <f t="shared" si="2"/>
        <v>0</v>
      </c>
      <c r="I50" s="1355">
        <f t="shared" si="2"/>
        <v>0</v>
      </c>
    </row>
    <row r="51" spans="1:9" ht="21" customHeight="1">
      <c r="C51" s="966">
        <f>VLOOKUP(E3,Bedarfssätze!B7:C14,2)</f>
        <v>391</v>
      </c>
      <c r="D51" s="966">
        <f>VLOOKUP(E3,Bedarfssätze!E7:F14,2)</f>
        <v>353</v>
      </c>
      <c r="E51" s="966">
        <f>VLOOKUP(E3,Bedarfssätze!B26:C33,2)</f>
        <v>296</v>
      </c>
      <c r="F51" s="966">
        <f>VLOOKUP(E3,Bedarfssätze!E26:F33,2)</f>
        <v>261</v>
      </c>
      <c r="G51" s="966">
        <f>VLOOKUP(E3,Bedarfssätze!H26:I33,2)</f>
        <v>229</v>
      </c>
      <c r="H51" s="966">
        <f>VLOOKUP(E3,Bedarfssätze!H7:I14,2)</f>
        <v>313</v>
      </c>
    </row>
    <row r="52" spans="1:9" ht="23.25">
      <c r="A52" s="1319"/>
      <c r="B52" s="1320" t="s">
        <v>175</v>
      </c>
      <c r="C52" s="1316"/>
      <c r="D52" s="1316"/>
      <c r="E52" s="1316"/>
      <c r="F52" s="1316"/>
      <c r="G52" s="1316"/>
      <c r="H52" s="1316"/>
      <c r="I52" s="1321"/>
    </row>
    <row r="53" spans="1:9" ht="17.25" customHeight="1">
      <c r="A53" s="839"/>
      <c r="B53" s="1322" t="s">
        <v>246</v>
      </c>
      <c r="C53" s="1322" t="str">
        <f>Zusatzeingaben!C4</f>
        <v>Antragsteller</v>
      </c>
      <c r="D53" s="1322" t="str">
        <f>Zusatzeingaben!D4</f>
        <v>Partner(in)</v>
      </c>
      <c r="E53" s="1322" t="str">
        <f>Zusatzeingaben!E4</f>
        <v>Kind 1</v>
      </c>
      <c r="F53" s="1322" t="s">
        <v>145</v>
      </c>
      <c r="G53" s="1322" t="s">
        <v>146</v>
      </c>
      <c r="H53" s="1322" t="s">
        <v>147</v>
      </c>
      <c r="I53" s="1323" t="s">
        <v>148</v>
      </c>
    </row>
    <row r="54" spans="1:9" hidden="1">
      <c r="A54" s="1345" t="s">
        <v>2167</v>
      </c>
      <c r="B54" s="1356">
        <f t="shared" ref="B54:B68" si="3">SUM(C54:I54)</f>
        <v>0</v>
      </c>
      <c r="C54" s="1346">
        <f>Zusatzeingaben!C140</f>
        <v>0</v>
      </c>
      <c r="D54" s="1346">
        <f>Zusatzeingaben!D140</f>
        <v>0</v>
      </c>
      <c r="E54" s="1346">
        <f>Zusatzeingaben!E140</f>
        <v>0</v>
      </c>
      <c r="F54" s="1346">
        <f>Zusatzeingaben!F140</f>
        <v>0</v>
      </c>
      <c r="G54" s="1346">
        <f>Zusatzeingaben!G140</f>
        <v>0</v>
      </c>
      <c r="H54" s="1346">
        <f>Zusatzeingaben!H140</f>
        <v>0</v>
      </c>
      <c r="I54" s="1346">
        <f>Zusatzeingaben!I140</f>
        <v>0</v>
      </c>
    </row>
    <row r="55" spans="1:9">
      <c r="A55" s="1544">
        <f>IF(B55&gt;0,"Nettolohn",0)</f>
        <v>0</v>
      </c>
      <c r="B55" s="1335">
        <f t="shared" si="3"/>
        <v>0</v>
      </c>
      <c r="C55" s="522">
        <f>Zusatzeingaben!C133</f>
        <v>0</v>
      </c>
      <c r="D55" s="522">
        <f>Zusatzeingaben!D133</f>
        <v>0</v>
      </c>
      <c r="E55" s="522">
        <f>Zusatzeingaben!E133</f>
        <v>0</v>
      </c>
      <c r="F55" s="522">
        <f>Zusatzeingaben!F133</f>
        <v>0</v>
      </c>
      <c r="G55" s="522">
        <f>Zusatzeingaben!G133</f>
        <v>0</v>
      </c>
      <c r="H55" s="522">
        <f>Zusatzeingaben!H133</f>
        <v>0</v>
      </c>
      <c r="I55" s="523">
        <f>Zusatzeingaben!I133</f>
        <v>0</v>
      </c>
    </row>
    <row r="56" spans="1:9">
      <c r="A56" s="976">
        <f>IF(B56&gt;0,"Ausbildungsvergütung (netto)",0)</f>
        <v>0</v>
      </c>
      <c r="B56" s="1335">
        <f t="shared" si="3"/>
        <v>0</v>
      </c>
      <c r="C56" s="522">
        <f>Zusatzeingaben!C137</f>
        <v>0</v>
      </c>
      <c r="D56" s="522">
        <f>Zusatzeingaben!D137</f>
        <v>0</v>
      </c>
      <c r="E56" s="522">
        <f>Zusatzeingaben!E137</f>
        <v>0</v>
      </c>
      <c r="F56" s="522">
        <f>Zusatzeingaben!F137</f>
        <v>0</v>
      </c>
      <c r="G56" s="522">
        <f>Zusatzeingaben!G137</f>
        <v>0</v>
      </c>
      <c r="H56" s="522">
        <f>Zusatzeingaben!H137</f>
        <v>0</v>
      </c>
      <c r="I56" s="523">
        <f>Zusatzeingaben!I137</f>
        <v>0</v>
      </c>
    </row>
    <row r="57" spans="1:9">
      <c r="A57" s="976">
        <f>IF(B57&gt;0,Zusatzeingaben!A139,0)</f>
        <v>0</v>
      </c>
      <c r="B57" s="1335">
        <f t="shared" si="3"/>
        <v>0</v>
      </c>
      <c r="C57" s="522">
        <f>Zusatzeingaben!C139</f>
        <v>0</v>
      </c>
      <c r="D57" s="522">
        <f>Zusatzeingaben!D139</f>
        <v>0</v>
      </c>
      <c r="E57" s="522">
        <f>Zusatzeingaben!E139</f>
        <v>0</v>
      </c>
      <c r="F57" s="522">
        <f>Zusatzeingaben!F139</f>
        <v>0</v>
      </c>
      <c r="G57" s="522">
        <f>Zusatzeingaben!G139</f>
        <v>0</v>
      </c>
      <c r="H57" s="522">
        <f>Zusatzeingaben!H139</f>
        <v>0</v>
      </c>
      <c r="I57" s="523">
        <f>Zusatzeingaben!I139</f>
        <v>0</v>
      </c>
    </row>
    <row r="58" spans="1:9">
      <c r="A58" s="976">
        <f>IF(B58&gt;0,"steuerfreie Einnahmen Ehrenamt o.ä.",0)</f>
        <v>0</v>
      </c>
      <c r="B58" s="1335">
        <f t="shared" si="3"/>
        <v>0</v>
      </c>
      <c r="C58" s="522">
        <f>Zusatzeingaben!C138</f>
        <v>0</v>
      </c>
      <c r="D58" s="522">
        <f>Zusatzeingaben!D138</f>
        <v>0</v>
      </c>
      <c r="E58" s="522">
        <f>Zusatzeingaben!E138</f>
        <v>0</v>
      </c>
      <c r="F58" s="522">
        <f>Zusatzeingaben!F138</f>
        <v>0</v>
      </c>
      <c r="G58" s="522">
        <f>Zusatzeingaben!G138</f>
        <v>0</v>
      </c>
      <c r="H58" s="522">
        <f>Zusatzeingaben!H138</f>
        <v>0</v>
      </c>
      <c r="I58" s="523">
        <f>Zusatzeingaben!I138</f>
        <v>0</v>
      </c>
    </row>
    <row r="59" spans="1:9">
      <c r="A59" s="976">
        <f>IF(B59&gt;0,"Einkommen aus Freiwilligendienste",0)</f>
        <v>0</v>
      </c>
      <c r="B59" s="1335">
        <f t="shared" si="3"/>
        <v>0</v>
      </c>
      <c r="C59" s="522">
        <f>Zusatzeingaben!C170</f>
        <v>0</v>
      </c>
      <c r="D59" s="522">
        <f>Zusatzeingaben!D170</f>
        <v>0</v>
      </c>
      <c r="E59" s="522">
        <f>Zusatzeingaben!E170</f>
        <v>0</v>
      </c>
      <c r="F59" s="522">
        <f>Zusatzeingaben!F170</f>
        <v>0</v>
      </c>
      <c r="G59" s="522">
        <f>Zusatzeingaben!G170</f>
        <v>0</v>
      </c>
      <c r="H59" s="522">
        <f>Zusatzeingaben!H170</f>
        <v>0</v>
      </c>
      <c r="I59" s="523">
        <f>Zusatzeingaben!I170</f>
        <v>0</v>
      </c>
    </row>
    <row r="60" spans="1:9">
      <c r="A60" s="976">
        <f>IF(B60&gt;0,"Elterngeld",0)</f>
        <v>0</v>
      </c>
      <c r="B60" s="1335">
        <f t="shared" si="3"/>
        <v>0</v>
      </c>
      <c r="C60" s="522">
        <f>Zusatzeingaben!C174</f>
        <v>0</v>
      </c>
      <c r="D60" s="522">
        <f>Zusatzeingaben!D174</f>
        <v>0</v>
      </c>
      <c r="E60" s="522"/>
      <c r="F60" s="522"/>
      <c r="G60" s="522"/>
      <c r="H60" s="522"/>
      <c r="I60" s="523"/>
    </row>
    <row r="61" spans="1:9">
      <c r="A61" s="976">
        <f>IF(B61&gt;0,Zusatzeingaben!A180,0)</f>
        <v>0</v>
      </c>
      <c r="B61" s="1335">
        <f t="shared" si="3"/>
        <v>0</v>
      </c>
      <c r="C61" s="522">
        <f>Zusatzeingaben!C180</f>
        <v>0</v>
      </c>
      <c r="D61" s="522">
        <f>Zusatzeingaben!D180</f>
        <v>0</v>
      </c>
      <c r="E61" s="522">
        <f>Zusatzeingaben!E180</f>
        <v>0</v>
      </c>
      <c r="F61" s="522">
        <f>Zusatzeingaben!F180</f>
        <v>0</v>
      </c>
      <c r="G61" s="522"/>
      <c r="H61" s="522"/>
      <c r="I61" s="523"/>
    </row>
    <row r="62" spans="1:9">
      <c r="A62" s="976">
        <f>IF(B62&gt;0,"Kindergeld",0)</f>
        <v>0</v>
      </c>
      <c r="B62" s="1335">
        <f t="shared" si="3"/>
        <v>0</v>
      </c>
      <c r="C62" s="522">
        <f>Zusatzeingaben!C192</f>
        <v>0</v>
      </c>
      <c r="D62" s="522">
        <f>Zusatzeingaben!D192</f>
        <v>0</v>
      </c>
      <c r="E62" s="522">
        <f>Zusatzeingaben!E192</f>
        <v>0</v>
      </c>
      <c r="F62" s="522">
        <f>Zusatzeingaben!F192</f>
        <v>0</v>
      </c>
      <c r="G62" s="522">
        <f>Zusatzeingaben!G192</f>
        <v>0</v>
      </c>
      <c r="H62" s="522">
        <f>Zusatzeingaben!H192</f>
        <v>0</v>
      </c>
      <c r="I62" s="523">
        <f>Zusatzeingaben!I192</f>
        <v>0</v>
      </c>
    </row>
    <row r="63" spans="1:9">
      <c r="A63" s="976">
        <f>IF(B63&gt;0,"Unterhalt/Unterhaltsvorschuss",0)</f>
        <v>0</v>
      </c>
      <c r="B63" s="1335">
        <f t="shared" si="3"/>
        <v>0</v>
      </c>
      <c r="C63" s="522">
        <f>Zusatzeingaben!C195</f>
        <v>0</v>
      </c>
      <c r="D63" s="522">
        <f>Zusatzeingaben!D195</f>
        <v>0</v>
      </c>
      <c r="E63" s="522">
        <f>Zusatzeingaben!E195</f>
        <v>0</v>
      </c>
      <c r="F63" s="522">
        <f>Zusatzeingaben!F195</f>
        <v>0</v>
      </c>
      <c r="G63" s="522">
        <f>Zusatzeingaben!G195</f>
        <v>0</v>
      </c>
      <c r="H63" s="522">
        <f>Zusatzeingaben!H195</f>
        <v>0</v>
      </c>
      <c r="I63" s="523">
        <f>Zusatzeingaben!I195</f>
        <v>0</v>
      </c>
    </row>
    <row r="64" spans="1:9">
      <c r="A64" s="976">
        <f>IF(B64&gt;0,Zusatzeingaben!A196,0)</f>
        <v>0</v>
      </c>
      <c r="B64" s="1335">
        <f t="shared" si="3"/>
        <v>0</v>
      </c>
      <c r="C64" s="522">
        <f>Zusatzeingaben!C196</f>
        <v>0</v>
      </c>
      <c r="D64" s="522">
        <f>Zusatzeingaben!D196</f>
        <v>0</v>
      </c>
      <c r="E64" s="522">
        <f>Zusatzeingaben!E196</f>
        <v>0</v>
      </c>
      <c r="F64" s="522">
        <f>Zusatzeingaben!F196</f>
        <v>0</v>
      </c>
      <c r="G64" s="522">
        <f>Zusatzeingaben!G196</f>
        <v>0</v>
      </c>
      <c r="H64" s="522">
        <f>Zusatzeingaben!H196</f>
        <v>0</v>
      </c>
      <c r="I64" s="523">
        <f>Zusatzeingaben!I196</f>
        <v>0</v>
      </c>
    </row>
    <row r="65" spans="1:9">
      <c r="A65" s="976">
        <f>IF(B65&gt;0,"Altersrente",0)</f>
        <v>0</v>
      </c>
      <c r="B65" s="1335">
        <f t="shared" si="3"/>
        <v>0</v>
      </c>
      <c r="C65" s="522">
        <f>Zusatzeingaben!C197</f>
        <v>0</v>
      </c>
      <c r="D65" s="522">
        <f>Zusatzeingaben!D197</f>
        <v>0</v>
      </c>
      <c r="E65" s="522">
        <f>Zusatzeingaben!E197</f>
        <v>0</v>
      </c>
      <c r="F65" s="522">
        <f>Zusatzeingaben!F197</f>
        <v>0</v>
      </c>
      <c r="G65" s="522">
        <f>Zusatzeingaben!G197</f>
        <v>0</v>
      </c>
      <c r="H65" s="522">
        <f>Zusatzeingaben!H197</f>
        <v>0</v>
      </c>
      <c r="I65" s="523">
        <f>Zusatzeingaben!I197</f>
        <v>0</v>
      </c>
    </row>
    <row r="66" spans="1:9">
      <c r="A66" s="976">
        <f>IF(B66&gt;0,Zusatzeingaben!A198,0)</f>
        <v>0</v>
      </c>
      <c r="B66" s="1335">
        <f t="shared" si="3"/>
        <v>0</v>
      </c>
      <c r="C66" s="522">
        <f>Zusatzeingaben!C198</f>
        <v>0</v>
      </c>
      <c r="D66" s="522">
        <f>Zusatzeingaben!D198</f>
        <v>0</v>
      </c>
      <c r="E66" s="522">
        <f>Zusatzeingaben!E198</f>
        <v>0</v>
      </c>
      <c r="F66" s="522">
        <f>Zusatzeingaben!F198</f>
        <v>0</v>
      </c>
      <c r="G66" s="522">
        <f>Zusatzeingaben!G198</f>
        <v>0</v>
      </c>
      <c r="H66" s="522">
        <f>Zusatzeingaben!H198</f>
        <v>0</v>
      </c>
      <c r="I66" s="523">
        <f>Zusatzeingaben!I198</f>
        <v>0</v>
      </c>
    </row>
    <row r="67" spans="1:9" hidden="1">
      <c r="A67" s="976"/>
      <c r="B67" s="1335">
        <f t="shared" si="3"/>
        <v>0</v>
      </c>
      <c r="C67" s="522"/>
      <c r="D67" s="522"/>
      <c r="E67" s="522"/>
      <c r="F67" s="522"/>
      <c r="G67" s="522"/>
      <c r="H67" s="522"/>
      <c r="I67" s="523"/>
    </row>
    <row r="68" spans="1:9" ht="16.5" customHeight="1">
      <c r="A68" s="1022">
        <f>IF(B68&gt;0,Zusatzeingaben!A199,0)</f>
        <v>0</v>
      </c>
      <c r="B68" s="1357">
        <f t="shared" si="3"/>
        <v>0</v>
      </c>
      <c r="C68" s="1024">
        <f>Zusatzeingaben!C199</f>
        <v>0</v>
      </c>
      <c r="D68" s="1024">
        <f>Zusatzeingaben!D199</f>
        <v>0</v>
      </c>
      <c r="E68" s="1024">
        <f>Zusatzeingaben!E199</f>
        <v>0</v>
      </c>
      <c r="F68" s="1024">
        <f>Zusatzeingaben!F199</f>
        <v>0</v>
      </c>
      <c r="G68" s="1024">
        <f>Zusatzeingaben!G199</f>
        <v>0</v>
      </c>
      <c r="H68" s="1024">
        <f>Zusatzeingaben!H199</f>
        <v>0</v>
      </c>
      <c r="I68" s="1025">
        <f>Zusatzeingaben!I199</f>
        <v>0</v>
      </c>
    </row>
    <row r="69" spans="1:9" hidden="1">
      <c r="A69" s="1248"/>
      <c r="B69" s="1358"/>
      <c r="C69" s="634">
        <f t="shared" ref="C69:I69" si="4">SUM(C60:C68)</f>
        <v>0</v>
      </c>
      <c r="D69" s="634">
        <f t="shared" si="4"/>
        <v>0</v>
      </c>
      <c r="E69" s="634">
        <f t="shared" si="4"/>
        <v>0</v>
      </c>
      <c r="F69" s="634">
        <f t="shared" si="4"/>
        <v>0</v>
      </c>
      <c r="G69" s="634">
        <f t="shared" si="4"/>
        <v>0</v>
      </c>
      <c r="H69" s="634">
        <f t="shared" si="4"/>
        <v>0</v>
      </c>
      <c r="I69" s="635">
        <f t="shared" si="4"/>
        <v>0</v>
      </c>
    </row>
    <row r="70" spans="1:9">
      <c r="A70" s="1359" t="s">
        <v>208</v>
      </c>
      <c r="B70" s="1360">
        <f>SUM(C70:I70)</f>
        <v>0</v>
      </c>
      <c r="C70" s="1031">
        <f t="shared" ref="C70:I70" si="5">SUM(C55:C68)</f>
        <v>0</v>
      </c>
      <c r="D70" s="1031">
        <f t="shared" si="5"/>
        <v>0</v>
      </c>
      <c r="E70" s="1031">
        <f t="shared" si="5"/>
        <v>0</v>
      </c>
      <c r="F70" s="1031">
        <f t="shared" si="5"/>
        <v>0</v>
      </c>
      <c r="G70" s="1031">
        <f t="shared" si="5"/>
        <v>0</v>
      </c>
      <c r="H70" s="1031">
        <f t="shared" si="5"/>
        <v>0</v>
      </c>
      <c r="I70" s="1032">
        <f t="shared" si="5"/>
        <v>0</v>
      </c>
    </row>
    <row r="71" spans="1:9" ht="16.5" hidden="1" customHeight="1">
      <c r="A71" s="1341"/>
      <c r="B71" s="522"/>
      <c r="C71" s="507">
        <f>IF(AND(Zusatzeingaben!C161&gt;0,Zusatzeingaben!C164=Zusatzeingaben!C161),0,Zusatzeingaben!C203)</f>
        <v>0</v>
      </c>
      <c r="D71" s="507">
        <f>IF(AND(Zusatzeingaben!D161&gt;0,Zusatzeingaben!D164=Zusatzeingaben!D161),0,Zusatzeingaben!D203)</f>
        <v>0</v>
      </c>
      <c r="E71" s="507">
        <f>IF(AND(Zusatzeingaben!E161&gt;0,Zusatzeingaben!E164=Zusatzeingaben!E161),0,Zusatzeingaben!E203)</f>
        <v>0</v>
      </c>
      <c r="F71" s="507">
        <f>IF(AND(Zusatzeingaben!F161&gt;0,Zusatzeingaben!F164=Zusatzeingaben!F161),0,Zusatzeingaben!F203)</f>
        <v>0</v>
      </c>
      <c r="G71" s="507">
        <f>IF(AND(Zusatzeingaben!G161&gt;0,Zusatzeingaben!G164=Zusatzeingaben!G161),0,Zusatzeingaben!G203)</f>
        <v>0</v>
      </c>
      <c r="H71" s="507">
        <f>IF(AND(Zusatzeingaben!H161&gt;0,Zusatzeingaben!H164=Zusatzeingaben!H161),0,Zusatzeingaben!H203)</f>
        <v>0</v>
      </c>
      <c r="I71" s="508">
        <f>IF(AND(Zusatzeingaben!I161&gt;0,Zusatzeingaben!I164=Zusatzeingaben!I161),0,Zusatzeingaben!I203)</f>
        <v>0</v>
      </c>
    </row>
    <row r="72" spans="1:9" ht="16.5" hidden="1" customHeight="1">
      <c r="A72" s="1341"/>
      <c r="B72" s="522"/>
      <c r="C72" s="507">
        <f>IF(AND(Zusatzeingaben!C215&gt;C113,C78&lt;0),C71+C78,C71)</f>
        <v>0</v>
      </c>
      <c r="D72" s="507">
        <f>IF(AND(Zusatzeingaben!D215&gt;D113,D78&lt;0),D71+D78,D71)</f>
        <v>0</v>
      </c>
      <c r="E72" s="507">
        <f>IF(AND(Zusatzeingaben!E215&gt;E113,E78&lt;0),E71+E78,E71)</f>
        <v>0</v>
      </c>
      <c r="F72" s="507">
        <f>IF(AND(Zusatzeingaben!F215&gt;F113,F78&lt;0),F71+F78,F71)</f>
        <v>0</v>
      </c>
      <c r="G72" s="507">
        <f>IF(AND(Zusatzeingaben!G215&gt;G113,G78&lt;0),G71+G78,G71)</f>
        <v>0</v>
      </c>
      <c r="H72" s="507">
        <f>IF(AND(Zusatzeingaben!H215&gt;H113,H78&lt;0),H71+H78,H71)</f>
        <v>0</v>
      </c>
      <c r="I72" s="508">
        <f>IF(AND(Zusatzeingaben!I215&gt;I113,I78&lt;0),I71+I78,I71)</f>
        <v>0</v>
      </c>
    </row>
    <row r="73" spans="1:9" ht="16.5" hidden="1" customHeight="1">
      <c r="A73" s="1341"/>
      <c r="B73" s="522"/>
      <c r="C73" s="507">
        <f>IF(AND(C113&gt;0,Zusatzeingaben!C215&lt;C113),0,C72)</f>
        <v>0</v>
      </c>
      <c r="D73" s="507">
        <f>IF(AND(D113&gt;0,Zusatzeingaben!D215&lt;D113),0,D72)</f>
        <v>0</v>
      </c>
      <c r="E73" s="507">
        <f>IF(AND(E113&gt;0,Zusatzeingaben!E215&lt;E113),0,E72)</f>
        <v>0</v>
      </c>
      <c r="F73" s="507">
        <f>IF(AND(F113&gt;0,Zusatzeingaben!F215&lt;F113),0,F72)</f>
        <v>0</v>
      </c>
      <c r="G73" s="507">
        <f>IF(AND(G113&gt;0,Zusatzeingaben!G215&lt;G113),0,G72)</f>
        <v>0</v>
      </c>
      <c r="H73" s="507">
        <f>IF(AND(H113&gt;0,Zusatzeingaben!H215&lt;H113),0,H72)</f>
        <v>0</v>
      </c>
      <c r="I73" s="508">
        <f>IF(AND(I113&gt;0,Zusatzeingaben!I215&lt;I113),0,I72)</f>
        <v>0</v>
      </c>
    </row>
    <row r="74" spans="1:9" ht="16.5" hidden="1" customHeight="1">
      <c r="A74" s="1341"/>
      <c r="B74" s="522"/>
      <c r="C74" s="507">
        <f>IF(C113=0,Zusatzeingaben!C203,0)</f>
        <v>0</v>
      </c>
      <c r="D74" s="507">
        <f>IF(D113=0,Zusatzeingaben!D203,0)</f>
        <v>0</v>
      </c>
      <c r="E74" s="507">
        <f>IF(E113=0,Zusatzeingaben!E203,0)</f>
        <v>0</v>
      </c>
      <c r="F74" s="507">
        <f>IF(F113=0,Zusatzeingaben!F203,0)</f>
        <v>0</v>
      </c>
      <c r="G74" s="507">
        <f>IF(G113=0,Zusatzeingaben!G203,0)</f>
        <v>0</v>
      </c>
      <c r="H74" s="507">
        <f>IF(H113=0,Zusatzeingaben!H203,0)</f>
        <v>0</v>
      </c>
      <c r="I74" s="508">
        <f>IF(I113=0,Zusatzeingaben!I203,0)</f>
        <v>0</v>
      </c>
    </row>
    <row r="75" spans="1:9" ht="16.5" hidden="1" customHeight="1">
      <c r="A75" s="1341"/>
      <c r="B75" s="1361"/>
      <c r="C75" s="634">
        <f t="shared" ref="C75:I75" si="6">IF(C74=30,C74,C73)</f>
        <v>0</v>
      </c>
      <c r="D75" s="634">
        <f t="shared" si="6"/>
        <v>0</v>
      </c>
      <c r="E75" s="634">
        <f t="shared" si="6"/>
        <v>0</v>
      </c>
      <c r="F75" s="634">
        <f t="shared" si="6"/>
        <v>0</v>
      </c>
      <c r="G75" s="634">
        <f t="shared" si="6"/>
        <v>0</v>
      </c>
      <c r="H75" s="634">
        <f t="shared" si="6"/>
        <v>0</v>
      </c>
      <c r="I75" s="635">
        <f t="shared" si="6"/>
        <v>0</v>
      </c>
    </row>
    <row r="76" spans="1:9">
      <c r="A76" s="1362">
        <f>IF(B76&gt;0,"./. Versicherungspauschale",0)</f>
        <v>0</v>
      </c>
      <c r="B76" s="1331">
        <f>SUM(C76:I76)</f>
        <v>0</v>
      </c>
      <c r="C76" s="1363">
        <f>IF(C70=0,0,IF(C75&lt;0,0,IF(AND(C114&gt;0,C54&lt;=400),0,IF(AND(C114&gt;0,Zusatzeingaben!C141=0),0,IF(AND(C61&gt;0,C120=Zusatzeingaben!C189,Zusatzeingaben!C189&gt;0),0,C75)))))</f>
        <v>0</v>
      </c>
      <c r="D76" s="1363">
        <f>IF(D70=0,0,IF(D75&lt;0,0,IF(AND(D114&gt;0,D54&lt;=400),0,IF(AND(D114&gt;0,Zusatzeingaben!D141=0),0,IF(AND(D61&gt;0,D120=Zusatzeingaben!D189,Zusatzeingaben!D189&gt;0),0,D75)))))</f>
        <v>0</v>
      </c>
      <c r="E76" s="1363">
        <f>IF(E70=0,0,IF(E75&lt;0,0,IF(AND(E114&gt;0,E54&lt;=400),0,IF(AND(E114&gt;0,Zusatzeingaben!E141=0),0,IF(AND(E61&gt;0,E120=Zusatzeingaben!E189,Zusatzeingaben!E189&gt;0),0,E75)))))</f>
        <v>0</v>
      </c>
      <c r="F76" s="1363">
        <f>IF(F70=0,0,IF(F75&lt;0,0,IF(AND(F114&gt;0,F54&lt;=400),0,IF(AND(F114&gt;0,Zusatzeingaben!F141=0),0,IF(AND(F61&gt;0,F120=Zusatzeingaben!F189,Zusatzeingaben!F189&gt;0),0,F75)))))</f>
        <v>0</v>
      </c>
      <c r="G76" s="1363">
        <f>IF(G70=0,0,IF(G75&lt;0,0,IF(AND(G114&gt;0,G54&lt;=400),0,IF(AND(G114&gt;0,Zusatzeingaben!G141=0),0,IF(AND(G61&gt;0,G120=Zusatzeingaben!G189,Zusatzeingaben!G189&gt;0),0,G75)))))</f>
        <v>0</v>
      </c>
      <c r="H76" s="1363">
        <f>IF(H70=0,0,IF(H75&lt;0,0,IF(AND(H114&gt;0,H54&lt;=400),0,IF(AND(H114&gt;0,Zusatzeingaben!H141=0),0,IF(AND(H61&gt;0,H120=Zusatzeingaben!H189,Zusatzeingaben!H189&gt;0),0,H75)))))</f>
        <v>0</v>
      </c>
      <c r="I76" s="1364">
        <f>IF(I70=0,0,IF(I75&lt;0,0,IF(AND(I114&gt;0,I54&lt;=400),0,IF(AND(I114&gt;0,Zusatzeingaben!I141=0),0,IF(AND(I61&gt;0,I120=Zusatzeingaben!I189,Zusatzeingaben!I189&gt;0),0,I75)))))</f>
        <v>0</v>
      </c>
    </row>
    <row r="77" spans="1:9" hidden="1">
      <c r="A77" s="1341"/>
      <c r="B77" s="522"/>
      <c r="C77" s="507">
        <f>IF(AND(Zusatzeingaben!C161&gt;0,Zusatzeingaben!C164=Zusatzeingaben!C161),0,Zusatzeingaben!C204-Zusatzeingaben!C161)</f>
        <v>0</v>
      </c>
      <c r="D77" s="507">
        <f>IF(AND(Zusatzeingaben!D161&gt;0,Zusatzeingaben!D164=Zusatzeingaben!D161),0,Zusatzeingaben!D204-Zusatzeingaben!D161)</f>
        <v>0</v>
      </c>
      <c r="E77" s="507">
        <f>IF(AND(Zusatzeingaben!E161&gt;0,Zusatzeingaben!E164=Zusatzeingaben!E161),0,Zusatzeingaben!E204-Zusatzeingaben!E161)</f>
        <v>0</v>
      </c>
      <c r="F77" s="507">
        <f>IF(AND(Zusatzeingaben!F161&gt;0,Zusatzeingaben!F164=Zusatzeingaben!F161),0,Zusatzeingaben!F204-Zusatzeingaben!F161)</f>
        <v>0</v>
      </c>
      <c r="G77" s="507">
        <f>IF(AND(Zusatzeingaben!G161&gt;0,Zusatzeingaben!G164=Zusatzeingaben!G161),0,Zusatzeingaben!G204-Zusatzeingaben!G161)</f>
        <v>0</v>
      </c>
      <c r="H77" s="507">
        <f>IF(AND(Zusatzeingaben!H161&gt;0,Zusatzeingaben!H164=Zusatzeingaben!H161),0,Zusatzeingaben!H204-Zusatzeingaben!H161)</f>
        <v>0</v>
      </c>
      <c r="I77" s="508">
        <f>IF(AND(Zusatzeingaben!I161&gt;0,Zusatzeingaben!I164=Zusatzeingaben!I161),0,Zusatzeingaben!I204-Zusatzeingaben!I161)</f>
        <v>0</v>
      </c>
    </row>
    <row r="78" spans="1:9" hidden="1">
      <c r="A78" s="1341"/>
      <c r="B78" s="522"/>
      <c r="C78" s="507">
        <f>IF(AND(C71&gt;0,C77&gt;Zusatzeingaben!C204),Zusatzeingaben!C204,C77)</f>
        <v>0</v>
      </c>
      <c r="D78" s="507">
        <f>IF(AND(D71&gt;0,D77&gt;Zusatzeingaben!D204),Zusatzeingaben!D204,D77)</f>
        <v>0</v>
      </c>
      <c r="E78" s="507">
        <f>IF(AND(E71&gt;0,E77&gt;Zusatzeingaben!E204),Zusatzeingaben!E204,E77)</f>
        <v>0</v>
      </c>
      <c r="F78" s="507">
        <f>IF(AND(F71&gt;0,F77&gt;Zusatzeingaben!F204),Zusatzeingaben!F204,F77)</f>
        <v>0</v>
      </c>
      <c r="G78" s="507">
        <f>IF(AND(G71&gt;0,G77&gt;Zusatzeingaben!G204),Zusatzeingaben!G204,G77)</f>
        <v>0</v>
      </c>
      <c r="H78" s="507">
        <f>IF(AND(H71&gt;0,H77&gt;Zusatzeingaben!H204),Zusatzeingaben!H204,H77)</f>
        <v>0</v>
      </c>
      <c r="I78" s="508">
        <f>IF(AND(I71&gt;0,I77&gt;Zusatzeingaben!I204),Zusatzeingaben!I204,I77)</f>
        <v>0</v>
      </c>
    </row>
    <row r="79" spans="1:9" hidden="1">
      <c r="A79" s="1341"/>
      <c r="B79" s="522"/>
      <c r="C79" s="507">
        <f>IF(C113=0,Zusatzeingaben!C204,0)</f>
        <v>0</v>
      </c>
      <c r="D79" s="507">
        <f>IF(D113=0,Zusatzeingaben!D204,0)</f>
        <v>0</v>
      </c>
      <c r="E79" s="507">
        <f>IF(E113=0,Zusatzeingaben!E204,0)</f>
        <v>0</v>
      </c>
      <c r="F79" s="507">
        <f>IF(F113=0,Zusatzeingaben!F204,0)</f>
        <v>0</v>
      </c>
      <c r="G79" s="507">
        <f>IF(G113=0,Zusatzeingaben!G204,0)</f>
        <v>0</v>
      </c>
      <c r="H79" s="507">
        <f>IF(H113=0,Zusatzeingaben!H204,0)</f>
        <v>0</v>
      </c>
      <c r="I79" s="508">
        <f>IF(I113=0,Zusatzeingaben!I204,0)</f>
        <v>0</v>
      </c>
    </row>
    <row r="80" spans="1:9" hidden="1">
      <c r="A80" s="1341"/>
      <c r="B80" s="522"/>
      <c r="C80" s="507">
        <f>IF(C79=Zusatzeingaben!C204,C79,C78)</f>
        <v>0</v>
      </c>
      <c r="D80" s="507">
        <f>IF(D79=Zusatzeingaben!D204,D79,D78)</f>
        <v>0</v>
      </c>
      <c r="E80" s="507">
        <f>IF(E79=Zusatzeingaben!E204,E79,E78)</f>
        <v>0</v>
      </c>
      <c r="F80" s="507">
        <f>IF(F79=Zusatzeingaben!F204,F79,F78)</f>
        <v>0</v>
      </c>
      <c r="G80" s="507">
        <f>IF(G79=Zusatzeingaben!G204,G79,G78)</f>
        <v>0</v>
      </c>
      <c r="H80" s="507">
        <f>IF(H79=Zusatzeingaben!H204,H79,H78)</f>
        <v>0</v>
      </c>
      <c r="I80" s="508">
        <f>IF(I79=Zusatzeingaben!I204,I79,I78)</f>
        <v>0</v>
      </c>
    </row>
    <row r="81" spans="1:11" hidden="1">
      <c r="A81" s="1341"/>
      <c r="B81" s="522"/>
      <c r="C81" s="1016">
        <f t="shared" ref="C81:I81" si="7">IF(OR(C80&lt;0,C70=0),0,C80)</f>
        <v>0</v>
      </c>
      <c r="D81" s="1016">
        <f t="shared" si="7"/>
        <v>0</v>
      </c>
      <c r="E81" s="1016">
        <f t="shared" si="7"/>
        <v>0</v>
      </c>
      <c r="F81" s="1016">
        <f t="shared" si="7"/>
        <v>0</v>
      </c>
      <c r="G81" s="1016">
        <f t="shared" si="7"/>
        <v>0</v>
      </c>
      <c r="H81" s="1016">
        <f t="shared" si="7"/>
        <v>0</v>
      </c>
      <c r="I81" s="1017">
        <f t="shared" si="7"/>
        <v>0</v>
      </c>
    </row>
    <row r="82" spans="1:11">
      <c r="A82" s="976">
        <f>IF(B82&gt;0,"./. Kfz-Haftpflichtversicherung",0)</f>
        <v>0</v>
      </c>
      <c r="B82" s="1335">
        <f>SUM(C82:I82)</f>
        <v>0</v>
      </c>
      <c r="C82" s="1016">
        <f>IF(AND(C114&gt;0,C54&lt;=400),0,IF(AND(C114&gt;0,Zusatzeingaben!C141=0),0,IF(AND(C120=Zusatzeingaben!C189,C61&gt;0,Zusatzeingaben!C189&gt;0),0,C81)))</f>
        <v>0</v>
      </c>
      <c r="D82" s="1016">
        <f>IF(AND(D114&gt;0,D54&lt;=400),0,IF(AND(D114&gt;0,Zusatzeingaben!D141=0),0,IF(AND(D120=Zusatzeingaben!D189,D61&gt;0,Zusatzeingaben!D189&gt;0),0,D81)))</f>
        <v>0</v>
      </c>
      <c r="E82" s="1016">
        <f>IF(AND(E114&gt;0,E54&lt;=400),0,IF(AND(E114&gt;0,Zusatzeingaben!E141=0),0,IF(AND(E120=Zusatzeingaben!E189,E61&gt;0,Zusatzeingaben!E189&gt;0),0,E81)))</f>
        <v>0</v>
      </c>
      <c r="F82" s="1016">
        <f>IF(AND(F114&gt;0,F54&lt;=400),0,IF(AND(F114&gt;0,Zusatzeingaben!F141=0),0,IF(AND(F120=Zusatzeingaben!F189,F61&gt;0,Zusatzeingaben!F189&gt;0),0,F81)))</f>
        <v>0</v>
      </c>
      <c r="G82" s="1016">
        <f>IF(AND(G114&gt;0,G54&lt;=400),0,IF(AND(G114&gt;0,Zusatzeingaben!G141=0),0,IF(AND(G120=Zusatzeingaben!G189,G61&gt;0,Zusatzeingaben!G189&gt;0),0,G81)))</f>
        <v>0</v>
      </c>
      <c r="H82" s="1016">
        <f>IF(AND(H114&gt;0,H54&lt;=400),0,IF(AND(H114&gt;0,Zusatzeingaben!H141=0),0,IF(AND(H120=Zusatzeingaben!H189,H61&gt;0,Zusatzeingaben!H189&gt;0),0,H81)))</f>
        <v>0</v>
      </c>
      <c r="I82" s="1017">
        <f>IF(AND(I114&gt;0,I54&lt;=400),0,IF(AND(I114&gt;0,Zusatzeingaben!I141=0),0,IF(AND(I120=Zusatzeingaben!I189,I61&gt;0,Zusatzeingaben!I189&gt;0),0,I81)))</f>
        <v>0</v>
      </c>
      <c r="K82" s="563"/>
    </row>
    <row r="83" spans="1:11" ht="18" hidden="1" customHeight="1">
      <c r="A83" s="1341"/>
      <c r="B83" s="507"/>
      <c r="C83" s="507">
        <f>IF(AND(Zusatzeingaben!C161&gt;0,Zusatzeingaben!C164=Zusatzeingaben!C161),0,Zusatzeingaben!C205)</f>
        <v>0</v>
      </c>
      <c r="D83" s="507">
        <f>IF(AND(Zusatzeingaben!D161&gt;0,Zusatzeingaben!D164=Zusatzeingaben!D161),0,Zusatzeingaben!D205)</f>
        <v>0</v>
      </c>
      <c r="E83" s="507">
        <f>IF(AND(Zusatzeingaben!E161&gt;0,Zusatzeingaben!E164=Zusatzeingaben!E161),0,Zusatzeingaben!E205)</f>
        <v>0</v>
      </c>
      <c r="F83" s="507">
        <f>IF(AND(Zusatzeingaben!F161&gt;0,Zusatzeingaben!F164=Zusatzeingaben!F161),0,Zusatzeingaben!F205)</f>
        <v>0</v>
      </c>
      <c r="G83" s="507">
        <f>IF(AND(Zusatzeingaben!G161&gt;0,Zusatzeingaben!G164=Zusatzeingaben!G161),0,Zusatzeingaben!G205)</f>
        <v>0</v>
      </c>
      <c r="H83" s="507">
        <f>IF(AND(Zusatzeingaben!H161&gt;0,Zusatzeingaben!H164=Zusatzeingaben!H161),0,Zusatzeingaben!H205)</f>
        <v>0</v>
      </c>
      <c r="I83" s="508">
        <f>IF(AND(Zusatzeingaben!I161&gt;0,Zusatzeingaben!I164=Zusatzeingaben!I161),0,Zusatzeingaben!I205)</f>
        <v>0</v>
      </c>
      <c r="K83" s="563"/>
    </row>
    <row r="84" spans="1:11" ht="18" hidden="1" customHeight="1">
      <c r="A84" s="1341"/>
      <c r="B84" s="507"/>
      <c r="C84" s="507">
        <f>IF(AND(Zusatzeingaben!C215&gt;C113,C78&lt;&gt;Zusatzeingaben!C204),C83,0)</f>
        <v>0</v>
      </c>
      <c r="D84" s="507">
        <f>IF(AND(Zusatzeingaben!D215&gt;D113,D78&lt;&gt;Zusatzeingaben!D204),D83,0)</f>
        <v>0</v>
      </c>
      <c r="E84" s="507">
        <f>IF(AND(Zusatzeingaben!E215&gt;E113,E78&lt;&gt;Zusatzeingaben!E204),E83,0)</f>
        <v>0</v>
      </c>
      <c r="F84" s="507">
        <f>IF(AND(Zusatzeingaben!F215&gt;F113,F78&lt;&gt;Zusatzeingaben!F204),F83,0)</f>
        <v>0</v>
      </c>
      <c r="G84" s="507">
        <f>IF(AND(Zusatzeingaben!G215&gt;G113,G78&lt;&gt;Zusatzeingaben!G204),G83,0)</f>
        <v>0</v>
      </c>
      <c r="H84" s="507">
        <f>IF(AND(Zusatzeingaben!H215&gt;H113,H78&lt;&gt;Zusatzeingaben!H204),H83,0)</f>
        <v>0</v>
      </c>
      <c r="I84" s="508">
        <f>IF(AND(Zusatzeingaben!I215&gt;I113,I78&lt;&gt;Zusatzeingaben!I204),I83,0)</f>
        <v>0</v>
      </c>
      <c r="K84" s="563"/>
    </row>
    <row r="85" spans="1:11" ht="18" hidden="1" customHeight="1">
      <c r="A85" s="1341"/>
      <c r="B85" s="507"/>
      <c r="C85" s="507">
        <f>IF(C113=0,Zusatzeingaben!C205,0)</f>
        <v>0</v>
      </c>
      <c r="D85" s="507">
        <f>IF(D113=0,Zusatzeingaben!D205,0)</f>
        <v>0</v>
      </c>
      <c r="E85" s="507">
        <f>IF(E113=0,Zusatzeingaben!E205,0)</f>
        <v>0</v>
      </c>
      <c r="F85" s="507">
        <f>IF(F113=0,Zusatzeingaben!F205,0)</f>
        <v>0</v>
      </c>
      <c r="G85" s="507">
        <f>IF(G113=0,Zusatzeingaben!G205,0)</f>
        <v>0</v>
      </c>
      <c r="H85" s="507">
        <f>IF(H113=0,Zusatzeingaben!H205,0)</f>
        <v>0</v>
      </c>
      <c r="I85" s="508">
        <f>IF(I113=0,Zusatzeingaben!I205,0)</f>
        <v>0</v>
      </c>
      <c r="K85" s="563"/>
    </row>
    <row r="86" spans="1:11" ht="18" hidden="1" customHeight="1">
      <c r="A86" s="1341"/>
      <c r="B86" s="507"/>
      <c r="C86" s="507">
        <f>IF(C85=Zusatzeingaben!C205,C85,C84)</f>
        <v>0</v>
      </c>
      <c r="D86" s="507">
        <f>IF(D85=Zusatzeingaben!D205,D85,D84)</f>
        <v>0</v>
      </c>
      <c r="E86" s="507">
        <f>IF(E85=Zusatzeingaben!E205,E85,E84)</f>
        <v>0</v>
      </c>
      <c r="F86" s="507">
        <f>IF(F85=Zusatzeingaben!F205,F85,F84)</f>
        <v>0</v>
      </c>
      <c r="G86" s="507">
        <f>IF(G85=Zusatzeingaben!G205,G85,G84)</f>
        <v>0</v>
      </c>
      <c r="H86" s="507">
        <f>IF(H85=Zusatzeingaben!H205,H85,H84)</f>
        <v>0</v>
      </c>
      <c r="I86" s="508">
        <f>IF(I85=Zusatzeingaben!I205,I85,I84)</f>
        <v>0</v>
      </c>
    </row>
    <row r="87" spans="1:11" ht="18" customHeight="1">
      <c r="A87" s="976">
        <f>IF(B87&gt;0,"./. Beiträge für Krankheit/Alter/ZVK",0)</f>
        <v>0</v>
      </c>
      <c r="B87" s="1365">
        <f>SUM(C87:I87)</f>
        <v>0</v>
      </c>
      <c r="C87" s="1016">
        <f>IF(C70=0,0,IF(AND(C114&gt;0,C54&lt;=400),0,IF(AND(C114&gt;0,Zusatzeingaben!C141=0),0,IF(AND(C120=Zusatzeingaben!C189,C61&gt;0,Zusatzeingaben!C189&gt;0),0,C86))))</f>
        <v>0</v>
      </c>
      <c r="D87" s="1016">
        <f>IF(D70=0,0,IF(AND(D114&gt;0,D54&lt;=400),0,IF(AND(D114&gt;0,Zusatzeingaben!D141=0),0,IF(AND(D120=Zusatzeingaben!D189,D61&gt;0,Zusatzeingaben!D189&gt;0),0,D86))))</f>
        <v>0</v>
      </c>
      <c r="E87" s="1016">
        <f>IF(E70=0,0,IF(AND(E114&gt;0,E54&lt;=400),0,IF(AND(E114&gt;0,Zusatzeingaben!E141=0),0,IF(AND(E120=Zusatzeingaben!E189,E61&gt;0,Zusatzeingaben!E189&gt;0),0,E86))))</f>
        <v>0</v>
      </c>
      <c r="F87" s="1016">
        <f>IF(F70=0,0,IF(AND(F114&gt;0,F54&lt;=400),0,IF(AND(F114&gt;0,Zusatzeingaben!F141=0),0,IF(AND(F120=Zusatzeingaben!F189,F61&gt;0,Zusatzeingaben!F189&gt;0),0,F86))))</f>
        <v>0</v>
      </c>
      <c r="G87" s="1016">
        <f>IF(G70=0,0,IF(AND(G114&gt;0,G54&lt;=400),0,IF(AND(G114&gt;0,Zusatzeingaben!G141=0),0,IF(AND(G120=Zusatzeingaben!G189,G61&gt;0,Zusatzeingaben!G189&gt;0),0,G86))))</f>
        <v>0</v>
      </c>
      <c r="H87" s="1016">
        <f>IF(H70=0,0,IF(AND(H114&gt;0,H54&lt;=400),0,IF(AND(H114&gt;0,Zusatzeingaben!H141=0),0,IF(AND(H120=Zusatzeingaben!H189,H61&gt;0,Zusatzeingaben!H189&gt;0),0,H86))))</f>
        <v>0</v>
      </c>
      <c r="I87" s="1017">
        <f>IF(I70=0,0,IF(AND(I114&gt;0,I54&lt;=400),0,IF(AND(I114&gt;0,Zusatzeingaben!I141=0),0,IF(AND(I120=Zusatzeingaben!I189,I61&gt;0,Zusatzeingaben!I189&gt;0),0,I86))))</f>
        <v>0</v>
      </c>
    </row>
    <row r="88" spans="1:11" ht="16.5" hidden="1" customHeight="1">
      <c r="A88" s="1341"/>
      <c r="B88" s="507"/>
      <c r="C88" s="507">
        <f>IF(AND(Zusatzeingaben!C161&gt;0,Zusatzeingaben!C164=Zusatzeingaben!C161),0,Zusatzeingaben!C213)</f>
        <v>0</v>
      </c>
      <c r="D88" s="507">
        <f>IF(AND(Zusatzeingaben!D161&gt;0,Zusatzeingaben!D164=Zusatzeingaben!D161),0,Zusatzeingaben!D213)</f>
        <v>0</v>
      </c>
      <c r="E88" s="507">
        <f>IF(AND(Zusatzeingaben!E161&gt;0,Zusatzeingaben!E164=Zusatzeingaben!E161),0,Zusatzeingaben!E213)</f>
        <v>0</v>
      </c>
      <c r="F88" s="507">
        <f>IF(AND(Zusatzeingaben!F161&gt;0,Zusatzeingaben!F164=Zusatzeingaben!F161),0,Zusatzeingaben!F213)</f>
        <v>0</v>
      </c>
      <c r="G88" s="507">
        <f>IF(AND(Zusatzeingaben!G161&gt;0,Zusatzeingaben!G164=Zusatzeingaben!G161),0,Zusatzeingaben!G213)</f>
        <v>0</v>
      </c>
      <c r="H88" s="507">
        <f>IF(AND(Zusatzeingaben!H161&gt;0,Zusatzeingaben!H164=Zusatzeingaben!H161),0,Zusatzeingaben!H213)</f>
        <v>0</v>
      </c>
      <c r="I88" s="508">
        <f>IF(AND(Zusatzeingaben!I161&gt;0,Zusatzeingaben!I164=Zusatzeingaben!I161),0,Zusatzeingaben!I213)</f>
        <v>0</v>
      </c>
    </row>
    <row r="89" spans="1:11" ht="16.5" hidden="1" customHeight="1">
      <c r="A89" s="1341"/>
      <c r="B89" s="507"/>
      <c r="C89" s="507">
        <f>IF(AND(Zusatzeingaben!C215&gt;C113,C78&lt;&gt;Zusatzeingaben!C204),C88,0)</f>
        <v>0</v>
      </c>
      <c r="D89" s="507">
        <f>IF(AND(Zusatzeingaben!D215&gt;D113,D78&lt;&gt;Zusatzeingaben!D204),D88,0)</f>
        <v>0</v>
      </c>
      <c r="E89" s="507">
        <f>IF(AND(Zusatzeingaben!E215&gt;E113,E78&lt;&gt;Zusatzeingaben!E204),E88,0)</f>
        <v>0</v>
      </c>
      <c r="F89" s="507">
        <f>IF(AND(Zusatzeingaben!F215&gt;F113,F78&lt;&gt;Zusatzeingaben!F204),F88,0)</f>
        <v>0</v>
      </c>
      <c r="G89" s="507">
        <f>IF(AND(Zusatzeingaben!G215&gt;G113,G78&lt;&gt;Zusatzeingaben!G204),G88,0)</f>
        <v>0</v>
      </c>
      <c r="H89" s="507">
        <f>IF(AND(Zusatzeingaben!H215&gt;H113,H78&lt;&gt;Zusatzeingaben!H204),H88,0)</f>
        <v>0</v>
      </c>
      <c r="I89" s="508">
        <f>IF(AND(Zusatzeingaben!I215&gt;I113,I78&lt;&gt;Zusatzeingaben!I204),I88,0)</f>
        <v>0</v>
      </c>
    </row>
    <row r="90" spans="1:11" ht="16.5" hidden="1" customHeight="1">
      <c r="A90" s="1341"/>
      <c r="B90" s="507"/>
      <c r="C90" s="507">
        <f>IF(C113=0,Zusatzeingaben!C213,0)</f>
        <v>0</v>
      </c>
      <c r="D90" s="507">
        <f>IF(D113=0,Zusatzeingaben!D213,0)</f>
        <v>0</v>
      </c>
      <c r="E90" s="507">
        <f>IF(E113=0,Zusatzeingaben!E213,0)</f>
        <v>0</v>
      </c>
      <c r="F90" s="507">
        <f>IF(F113=0,Zusatzeingaben!F213,0)</f>
        <v>0</v>
      </c>
      <c r="G90" s="507">
        <f>IF(G113=0,Zusatzeingaben!G213,0)</f>
        <v>0</v>
      </c>
      <c r="H90" s="507">
        <f>IF(H113=0,Zusatzeingaben!H213,0)</f>
        <v>0</v>
      </c>
      <c r="I90" s="508">
        <f>IF(I113=0,Zusatzeingaben!I213,0)</f>
        <v>0</v>
      </c>
    </row>
    <row r="91" spans="1:11" ht="16.5" hidden="1" customHeight="1">
      <c r="A91" s="1341"/>
      <c r="B91" s="507"/>
      <c r="C91" s="507">
        <f>IF(C90=Zusatzeingaben!C213,C90,C89)</f>
        <v>0</v>
      </c>
      <c r="D91" s="507">
        <f>IF(D90=Zusatzeingaben!D213,D90,D89)</f>
        <v>0</v>
      </c>
      <c r="E91" s="507">
        <f>IF(E90=Zusatzeingaben!E213,E90,E89)</f>
        <v>0</v>
      </c>
      <c r="F91" s="507">
        <f>IF(F90=Zusatzeingaben!F213,F90,F89)</f>
        <v>0</v>
      </c>
      <c r="G91" s="507">
        <f>IF(G90=Zusatzeingaben!G213,G90,G89)</f>
        <v>0</v>
      </c>
      <c r="H91" s="507">
        <f>IF(H90=Zusatzeingaben!H213,H90,H89)</f>
        <v>0</v>
      </c>
      <c r="I91" s="508">
        <f>IF(I90=Zusatzeingaben!I213,I90,I89)</f>
        <v>0</v>
      </c>
    </row>
    <row r="92" spans="1:11">
      <c r="A92" s="976">
        <f>IF(B92&gt;0,"./. Beiträge Riester-Rente",0)</f>
        <v>0</v>
      </c>
      <c r="B92" s="1365">
        <f>SUM(C92:I92)</f>
        <v>0</v>
      </c>
      <c r="C92" s="1016">
        <f>IF(C70=0,0,IF(AND(C114&gt;0,C54&lt;=400),0,IF(AND(C114&gt;0,Zusatzeingaben!C141=0),0,IF(AND(C120=Zusatzeingaben!C189,C61&gt;0,Zusatzeingaben!C189&gt;0),0,C91))))</f>
        <v>0</v>
      </c>
      <c r="D92" s="1016">
        <f>IF(D70=0,0,IF(AND(D114&gt;0,D54&lt;=400),0,IF(AND(D114&gt;0,Zusatzeingaben!D141=0),0,IF(AND(D120=Zusatzeingaben!D189,D61&gt;0,Zusatzeingaben!D189&gt;0),0,D91))))</f>
        <v>0</v>
      </c>
      <c r="E92" s="1016">
        <f>IF(E70=0,0,IF(AND(E114&gt;0,E54&lt;=400),0,IF(AND(E114&gt;0,Zusatzeingaben!E141=0),0,IF(AND(E120=Zusatzeingaben!E189,E61&gt;0,Zusatzeingaben!E189&gt;0),0,E91))))</f>
        <v>0</v>
      </c>
      <c r="F92" s="1016">
        <f>IF(F70=0,0,IF(AND(F114&gt;0,F54&lt;=400),0,IF(AND(F114&gt;0,Zusatzeingaben!F141=0),0,IF(AND(F120=Zusatzeingaben!F189,F61&gt;0,Zusatzeingaben!F189&gt;0),0,F91))))</f>
        <v>0</v>
      </c>
      <c r="G92" s="1016">
        <f>IF(G70=0,0,IF(AND(G114&gt;0,G54&lt;=400),0,IF(AND(G114&gt;0,Zusatzeingaben!G141=0),0,IF(AND(G120=Zusatzeingaben!G189,G61&gt;0,Zusatzeingaben!G189&gt;0),0,G91))))</f>
        <v>0</v>
      </c>
      <c r="H92" s="1016">
        <f>IF(H70=0,0,IF(AND(H114&gt;0,H54&lt;=400),0,IF(AND(H114&gt;0,Zusatzeingaben!H141=0),0,IF(AND(H120=Zusatzeingaben!H189,H61&gt;0,Zusatzeingaben!H189&gt;0),0,H91))))</f>
        <v>0</v>
      </c>
      <c r="I92" s="1017">
        <f>IF(I70=0,0,IF(AND(I114&gt;0,I54&lt;=400),0,IF(AND(I114&gt;0,Zusatzeingaben!I141=0),0,IF(AND(I120=Zusatzeingaben!I189,I61&gt;0,Zusatzeingaben!I189&gt;0),0,I91))))</f>
        <v>0</v>
      </c>
    </row>
    <row r="93" spans="1:11" hidden="1">
      <c r="A93" s="976"/>
      <c r="B93" s="507"/>
      <c r="C93" s="507">
        <f>IF(AND(Zusatzeingaben!C161&gt;0,Zusatzeingaben!C164=Zusatzeingaben!C161),0,Zusatzeingaben!C127)</f>
        <v>0</v>
      </c>
      <c r="D93" s="507">
        <f>IF(AND(Zusatzeingaben!D161&gt;0,Zusatzeingaben!D164=Zusatzeingaben!D161),0,Zusatzeingaben!D127)</f>
        <v>0</v>
      </c>
      <c r="E93" s="507">
        <f>IF(AND(Zusatzeingaben!E161&gt;0,Zusatzeingaben!E164=Zusatzeingaben!E161),0,Zusatzeingaben!E127)</f>
        <v>0</v>
      </c>
      <c r="F93" s="507">
        <f>IF(AND(Zusatzeingaben!F161&gt;0,Zusatzeingaben!F164=Zusatzeingaben!F161),0,Zusatzeingaben!F127)</f>
        <v>0</v>
      </c>
      <c r="G93" s="507">
        <f>IF(AND(Zusatzeingaben!G161&gt;0,Zusatzeingaben!G164=Zusatzeingaben!G161),0,Zusatzeingaben!G127)</f>
        <v>0</v>
      </c>
      <c r="H93" s="507">
        <f>IF(AND(Zusatzeingaben!H161&gt;0,Zusatzeingaben!H164=Zusatzeingaben!H161),0,Zusatzeingaben!H127)</f>
        <v>0</v>
      </c>
      <c r="I93" s="508">
        <f>IF(AND(Zusatzeingaben!I161&gt;0,Zusatzeingaben!I164=Zusatzeingaben!I161),0,Zusatzeingaben!I127)</f>
        <v>0</v>
      </c>
    </row>
    <row r="94" spans="1:11" hidden="1">
      <c r="A94" s="1366"/>
      <c r="B94" s="507"/>
      <c r="C94" s="507">
        <f>IF(AND(Zusatzeingaben!C215&gt;C113,C78&lt;&gt;Zusatzeingaben!C127),C93,0)</f>
        <v>0</v>
      </c>
      <c r="D94" s="507">
        <f>IF(AND(Zusatzeingaben!D215&gt;D113,D78&lt;&gt;Zusatzeingaben!D127),D93,0)</f>
        <v>0</v>
      </c>
      <c r="E94" s="507">
        <f>IF(AND(Zusatzeingaben!E215&gt;E113,E78&lt;&gt;Zusatzeingaben!E127),E93,0)</f>
        <v>0</v>
      </c>
      <c r="F94" s="507">
        <f>IF(AND(Zusatzeingaben!F215&gt;F113,F78&lt;&gt;Zusatzeingaben!F127),F93,0)</f>
        <v>0</v>
      </c>
      <c r="G94" s="507">
        <f>IF(AND(Zusatzeingaben!G215&gt;G113,G78&lt;&gt;Zusatzeingaben!G127),G93,0)</f>
        <v>0</v>
      </c>
      <c r="H94" s="507">
        <f>IF(AND(Zusatzeingaben!H215&gt;H113,H78&lt;&gt;Zusatzeingaben!H127),H93,0)</f>
        <v>0</v>
      </c>
      <c r="I94" s="508">
        <f>IF(AND(Zusatzeingaben!I215&gt;I113,I78&lt;&gt;Zusatzeingaben!I127),I93,0)</f>
        <v>0</v>
      </c>
    </row>
    <row r="95" spans="1:11" hidden="1">
      <c r="A95" s="976"/>
      <c r="B95" s="507"/>
      <c r="C95" s="507">
        <f>IF(C113=0,Zusatzeingaben!C127,0)</f>
        <v>0</v>
      </c>
      <c r="D95" s="507">
        <f>IF(D113=0,Zusatzeingaben!D127,0)</f>
        <v>0</v>
      </c>
      <c r="E95" s="507">
        <f>IF(E113=0,Zusatzeingaben!E127,0)</f>
        <v>0</v>
      </c>
      <c r="F95" s="507">
        <f>IF(F113=0,Zusatzeingaben!F127,0)</f>
        <v>0</v>
      </c>
      <c r="G95" s="507">
        <f>IF(G113=0,Zusatzeingaben!G127,0)</f>
        <v>0</v>
      </c>
      <c r="H95" s="507">
        <f>IF(H113=0,Zusatzeingaben!H127,0)</f>
        <v>0</v>
      </c>
      <c r="I95" s="508">
        <f>IF(I113=0,Zusatzeingaben!I127,0)</f>
        <v>0</v>
      </c>
    </row>
    <row r="96" spans="1:11" hidden="1">
      <c r="A96" s="976"/>
      <c r="B96" s="507"/>
      <c r="C96" s="507">
        <f>IF(C95=Zusatzeingaben!C127,C95,C94)</f>
        <v>0</v>
      </c>
      <c r="D96" s="507">
        <f>IF(D95=Zusatzeingaben!D127,D95,D94)</f>
        <v>0</v>
      </c>
      <c r="E96" s="507">
        <f>IF(E95=Zusatzeingaben!E127,E95,E94)</f>
        <v>0</v>
      </c>
      <c r="F96" s="507">
        <f>IF(F95=Zusatzeingaben!F127,F95,F94)</f>
        <v>0</v>
      </c>
      <c r="G96" s="507">
        <f>IF(G95=Zusatzeingaben!G127,G95,G94)</f>
        <v>0</v>
      </c>
      <c r="H96" s="507">
        <f>IF(H95=Zusatzeingaben!H127,H95,H94)</f>
        <v>0</v>
      </c>
      <c r="I96" s="508">
        <f>IF(I95=Zusatzeingaben!I127,I95,I94)</f>
        <v>0</v>
      </c>
    </row>
    <row r="97" spans="1:9" hidden="1">
      <c r="A97" s="1366"/>
      <c r="B97" s="507"/>
      <c r="C97" s="507">
        <f>IF(Zusatzeingaben!C140=0,0,C96)</f>
        <v>0</v>
      </c>
      <c r="D97" s="507">
        <f>IF(Zusatzeingaben!D140=0,0,D96)</f>
        <v>0</v>
      </c>
      <c r="E97" s="507">
        <f>IF(Zusatzeingaben!E140=0,0,E96)</f>
        <v>0</v>
      </c>
      <c r="F97" s="507">
        <f>IF(Zusatzeingaben!F140=0,0,F96)</f>
        <v>0</v>
      </c>
      <c r="G97" s="507">
        <f>IF(Zusatzeingaben!G140=0,0,G96)</f>
        <v>0</v>
      </c>
      <c r="H97" s="507">
        <f>IF(Zusatzeingaben!H140=0,0,H96)</f>
        <v>0</v>
      </c>
      <c r="I97" s="508">
        <f>IF(Zusatzeingaben!I140=0,0,I96)</f>
        <v>0</v>
      </c>
    </row>
    <row r="98" spans="1:9">
      <c r="A98" s="976">
        <f>IF(B98&gt;0,"./. Fahrtkosten",0)</f>
        <v>0</v>
      </c>
      <c r="B98" s="1335">
        <f>SUM(C98:I98)</f>
        <v>0</v>
      </c>
      <c r="C98" s="1016">
        <f t="shared" ref="C98:I98" si="8">IF(AND(C114&gt;0,C54&lt;=400),0,IF(C75&lt;0,C97+C75,IF(C70=0,0,C97)))</f>
        <v>0</v>
      </c>
      <c r="D98" s="1016">
        <f t="shared" si="8"/>
        <v>0</v>
      </c>
      <c r="E98" s="1016">
        <f t="shared" si="8"/>
        <v>0</v>
      </c>
      <c r="F98" s="1016">
        <f t="shared" si="8"/>
        <v>0</v>
      </c>
      <c r="G98" s="1016">
        <f t="shared" si="8"/>
        <v>0</v>
      </c>
      <c r="H98" s="1016">
        <f t="shared" si="8"/>
        <v>0</v>
      </c>
      <c r="I98" s="1017">
        <f t="shared" si="8"/>
        <v>0</v>
      </c>
    </row>
    <row r="99" spans="1:9" hidden="1">
      <c r="A99" s="976"/>
      <c r="B99" s="522"/>
      <c r="C99" s="507">
        <f>IF(AND(Zusatzeingaben!C161&gt;0,Zusatzeingaben!C164=Zusatzeingaben!C161),0,Zusatzeingaben!C124)</f>
        <v>0</v>
      </c>
      <c r="D99" s="507">
        <f>IF(AND(Zusatzeingaben!D161&gt;0,Zusatzeingaben!D164=Zusatzeingaben!D161),0,Zusatzeingaben!D124)</f>
        <v>0</v>
      </c>
      <c r="E99" s="507">
        <f>IF(AND(Zusatzeingaben!E161&gt;0,Zusatzeingaben!E164=Zusatzeingaben!E161),0,Zusatzeingaben!E124)</f>
        <v>0</v>
      </c>
      <c r="F99" s="507">
        <f>IF(AND(Zusatzeingaben!F161&gt;0,Zusatzeingaben!F164=Zusatzeingaben!F161),0,Zusatzeingaben!F124)</f>
        <v>0</v>
      </c>
      <c r="G99" s="507">
        <f>IF(AND(Zusatzeingaben!G161&gt;0,Zusatzeingaben!G164=Zusatzeingaben!G161),0,Zusatzeingaben!G124)</f>
        <v>0</v>
      </c>
      <c r="H99" s="507">
        <f>IF(AND(Zusatzeingaben!H161&gt;0,Zusatzeingaben!H164=Zusatzeingaben!H161),0,Zusatzeingaben!H124)</f>
        <v>0</v>
      </c>
      <c r="I99" s="508">
        <f>IF(AND(Zusatzeingaben!I161&gt;0,Zusatzeingaben!I164=Zusatzeingaben!I161),0,Zusatzeingaben!I124)</f>
        <v>0</v>
      </c>
    </row>
    <row r="100" spans="1:9" hidden="1">
      <c r="A100" s="1366"/>
      <c r="B100" s="522"/>
      <c r="C100" s="507">
        <f>IF(AND(Zusatzeingaben!C215&gt;C113,C78&lt;&gt;Zusatzeingaben!C124),C99,0)</f>
        <v>0</v>
      </c>
      <c r="D100" s="507">
        <f>IF(AND(Zusatzeingaben!D215&gt;D113,D78&lt;&gt;Zusatzeingaben!D124),D99,0)</f>
        <v>0</v>
      </c>
      <c r="E100" s="507">
        <f>IF(AND(Zusatzeingaben!E215&gt;E113,E78&lt;&gt;Zusatzeingaben!E124),E99,0)</f>
        <v>0</v>
      </c>
      <c r="F100" s="507">
        <f>IF(AND(Zusatzeingaben!F215&gt;F113,F78&lt;&gt;Zusatzeingaben!F124),F99,0)</f>
        <v>0</v>
      </c>
      <c r="G100" s="507">
        <f>IF(AND(Zusatzeingaben!G215&gt;G113,G78&lt;&gt;Zusatzeingaben!G124),G99,0)</f>
        <v>0</v>
      </c>
      <c r="H100" s="507">
        <f>IF(AND(Zusatzeingaben!H215&gt;H113,H78&lt;&gt;Zusatzeingaben!H124),H99,0)</f>
        <v>0</v>
      </c>
      <c r="I100" s="508">
        <f>IF(AND(Zusatzeingaben!I215&gt;I113,I78&lt;&gt;Zusatzeingaben!I124),I99,0)</f>
        <v>0</v>
      </c>
    </row>
    <row r="101" spans="1:9" hidden="1">
      <c r="A101" s="976"/>
      <c r="B101" s="522"/>
      <c r="C101" s="507">
        <f>IF(C113=0,Zusatzeingaben!C124,0)</f>
        <v>0</v>
      </c>
      <c r="D101" s="507">
        <f>IF(D113=0,Zusatzeingaben!D124,0)</f>
        <v>0</v>
      </c>
      <c r="E101" s="507">
        <f>IF(E113=0,Zusatzeingaben!E124,0)</f>
        <v>0</v>
      </c>
      <c r="F101" s="507">
        <f>IF(F113=0,Zusatzeingaben!F124,0)</f>
        <v>0</v>
      </c>
      <c r="G101" s="507">
        <f>IF(G113=0,Zusatzeingaben!G124,0)</f>
        <v>0</v>
      </c>
      <c r="H101" s="507">
        <f>IF(H113=0,Zusatzeingaben!H124,0)</f>
        <v>0</v>
      </c>
      <c r="I101" s="508">
        <f>IF(I113=0,Zusatzeingaben!I124,0)</f>
        <v>0</v>
      </c>
    </row>
    <row r="102" spans="1:9" hidden="1">
      <c r="A102" s="976"/>
      <c r="B102" s="522"/>
      <c r="C102" s="507">
        <f>IF(C101=Zusatzeingaben!C124,C101,C99)</f>
        <v>0</v>
      </c>
      <c r="D102" s="507">
        <f>IF(D101=Zusatzeingaben!D124,D101,D99)</f>
        <v>0</v>
      </c>
      <c r="E102" s="507">
        <f>IF(E101=Zusatzeingaben!E124,E101,E99)</f>
        <v>0</v>
      </c>
      <c r="F102" s="507">
        <f>IF(F101=Zusatzeingaben!F124,F101,F99)</f>
        <v>0</v>
      </c>
      <c r="G102" s="507">
        <f>IF(G101=Zusatzeingaben!G124,G101,G99)</f>
        <v>0</v>
      </c>
      <c r="H102" s="507">
        <f>IF(H101=Zusatzeingaben!H124,H101,H99)</f>
        <v>0</v>
      </c>
      <c r="I102" s="508">
        <f>IF(I101=Zusatzeingaben!I124,I101,I99)</f>
        <v>0</v>
      </c>
    </row>
    <row r="103" spans="1:9" hidden="1">
      <c r="A103" s="1366"/>
      <c r="B103" s="522"/>
      <c r="C103" s="507">
        <f>IF(Zusatzeingaben!C140=0,0,C102)</f>
        <v>0</v>
      </c>
      <c r="D103" s="507">
        <f>IF(Zusatzeingaben!D140=0,0,D102)</f>
        <v>0</v>
      </c>
      <c r="E103" s="507">
        <f>IF(Zusatzeingaben!E140=0,0,E102)</f>
        <v>0</v>
      </c>
      <c r="F103" s="507">
        <f>IF(Zusatzeingaben!F140=0,0,F102)</f>
        <v>0</v>
      </c>
      <c r="G103" s="507">
        <f>IF(Zusatzeingaben!G140=0,0,G102)</f>
        <v>0</v>
      </c>
      <c r="H103" s="507">
        <f>IF(Zusatzeingaben!H140=0,0,H102)</f>
        <v>0</v>
      </c>
      <c r="I103" s="508">
        <f>IF(Zusatzeingaben!I140=0,0,I102)</f>
        <v>0</v>
      </c>
    </row>
    <row r="104" spans="1:9">
      <c r="A104" s="976">
        <f>IF(B104&gt;0,"./. Verpflegungsmehraufwand",0)</f>
        <v>0</v>
      </c>
      <c r="B104" s="1335">
        <f>SUM(C104:I104)</f>
        <v>0</v>
      </c>
      <c r="C104" s="1367">
        <f t="shared" ref="C104:I104" si="9">IF(AND(C114&gt;0,C54&lt;=400),0,IF(C70=0,0,C103))</f>
        <v>0</v>
      </c>
      <c r="D104" s="1367">
        <f t="shared" si="9"/>
        <v>0</v>
      </c>
      <c r="E104" s="1367">
        <f t="shared" si="9"/>
        <v>0</v>
      </c>
      <c r="F104" s="1367">
        <f t="shared" si="9"/>
        <v>0</v>
      </c>
      <c r="G104" s="1367">
        <f t="shared" si="9"/>
        <v>0</v>
      </c>
      <c r="H104" s="1367">
        <f t="shared" si="9"/>
        <v>0</v>
      </c>
      <c r="I104" s="1368">
        <f t="shared" si="9"/>
        <v>0</v>
      </c>
    </row>
    <row r="105" spans="1:9" hidden="1">
      <c r="A105" s="976"/>
      <c r="B105" s="522"/>
      <c r="C105" s="507">
        <f>IF(AND(Zusatzeingaben!C161&gt;0,Zusatzeingaben!C164=Zusatzeingaben!C161),0,Zusatzeingaben!C149)</f>
        <v>0</v>
      </c>
      <c r="D105" s="507">
        <f>IF(AND(Zusatzeingaben!D161&gt;0,Zusatzeingaben!D164=Zusatzeingaben!D161),0,Zusatzeingaben!D149)</f>
        <v>0</v>
      </c>
      <c r="E105" s="507">
        <f>IF(AND(Zusatzeingaben!E161&gt;0,Zusatzeingaben!E164=Zusatzeingaben!E161),0,Zusatzeingaben!E149)</f>
        <v>0</v>
      </c>
      <c r="F105" s="507">
        <f>IF(AND(Zusatzeingaben!F161&gt;0,Zusatzeingaben!F164=Zusatzeingaben!F161),0,Zusatzeingaben!F149)</f>
        <v>0</v>
      </c>
      <c r="G105" s="507">
        <f>IF(AND(Zusatzeingaben!G161&gt;0,Zusatzeingaben!G164=Zusatzeingaben!G161),0,Zusatzeingaben!G149)</f>
        <v>0</v>
      </c>
      <c r="H105" s="507">
        <f>IF(AND(Zusatzeingaben!H161&gt;0,Zusatzeingaben!H164=Zusatzeingaben!H161),0,Zusatzeingaben!H149)</f>
        <v>0</v>
      </c>
      <c r="I105" s="508">
        <f>IF(AND(Zusatzeingaben!I161&gt;0,Zusatzeingaben!I164=Zusatzeingaben!I161),0,Zusatzeingaben!I149)</f>
        <v>0</v>
      </c>
    </row>
    <row r="106" spans="1:9" hidden="1">
      <c r="A106" s="976"/>
      <c r="B106" s="522"/>
      <c r="C106" s="507">
        <f>IF(C113=0,Zusatzeingaben!C149,0)</f>
        <v>0</v>
      </c>
      <c r="D106" s="507">
        <f>IF(D113=0,Zusatzeingaben!D149,0)</f>
        <v>0</v>
      </c>
      <c r="E106" s="507">
        <f>IF(E113=0,Zusatzeingaben!E149,0)</f>
        <v>0</v>
      </c>
      <c r="F106" s="507">
        <f>IF(F113=0,Zusatzeingaben!F149,0)</f>
        <v>0</v>
      </c>
      <c r="G106" s="507">
        <f>IF(G113=0,Zusatzeingaben!G149,0)</f>
        <v>0</v>
      </c>
      <c r="H106" s="507">
        <f>IF(H113=0,Zusatzeingaben!H149,0)</f>
        <v>0</v>
      </c>
      <c r="I106" s="508">
        <f>IF(I113=0,Zusatzeingaben!I149,0)</f>
        <v>0</v>
      </c>
    </row>
    <row r="107" spans="1:9" hidden="1">
      <c r="A107" s="1341"/>
      <c r="B107" s="522"/>
      <c r="C107" s="507">
        <f t="shared" ref="C107:I107" si="10">IF(C106&gt;0,C106,C105)</f>
        <v>0</v>
      </c>
      <c r="D107" s="507">
        <f t="shared" si="10"/>
        <v>0</v>
      </c>
      <c r="E107" s="507">
        <f t="shared" si="10"/>
        <v>0</v>
      </c>
      <c r="F107" s="507">
        <f t="shared" si="10"/>
        <v>0</v>
      </c>
      <c r="G107" s="507">
        <f t="shared" si="10"/>
        <v>0</v>
      </c>
      <c r="H107" s="507">
        <f t="shared" si="10"/>
        <v>0</v>
      </c>
      <c r="I107" s="508">
        <f t="shared" si="10"/>
        <v>0</v>
      </c>
    </row>
    <row r="108" spans="1:9">
      <c r="A108" s="1339">
        <f>IF(B108&gt;0,"./. Werbungskosten bei Erwerbstätigkeit",0)</f>
        <v>0</v>
      </c>
      <c r="B108" s="1335">
        <f>SUM(C108:I108)</f>
        <v>0</v>
      </c>
      <c r="C108" s="507">
        <f>IF(AND(C114&gt;0,C54&lt;=400),0,IF(AND(C58&gt;200,Zusatzeingaben!C159&gt;Zusatzeingaben!C157),Zusatzeingaben!C148,IF(AND($A$57="Gewinn aus selbständiger Tätigkeit",C57&gt;0),0,IF(AND(C54&lt;100,C58&lt;200,C69&gt;0),0,C107))))</f>
        <v>0</v>
      </c>
      <c r="D108" s="507">
        <f>IF(AND(D114&gt;0,D54&lt;=400),0,IF(AND(D58&gt;200,Zusatzeingaben!D159&gt;Zusatzeingaben!D157),Zusatzeingaben!D148,IF(AND($A$57="Gewinn aus selbständiger Tätigkeit",D57&gt;0),0,IF(AND(D54&lt;100,D58&lt;200,D69&gt;0),0,D107))))</f>
        <v>0</v>
      </c>
      <c r="E108" s="507">
        <f>IF(AND(E114&gt;0,E54&lt;=400),0,IF(AND(E58&gt;200,Zusatzeingaben!E159&gt;Zusatzeingaben!E157),Zusatzeingaben!E148,IF(AND($A$57="Gewinn aus selbständiger Tätigkeit",E57&gt;0),0,IF(AND(E54&lt;100,E58&lt;200,E69&gt;0),0,E107))))</f>
        <v>0</v>
      </c>
      <c r="F108" s="507">
        <f>IF(AND(F114&gt;0,F54&lt;=400),0,IF(AND(F58&gt;200,Zusatzeingaben!F159&gt;Zusatzeingaben!F157),Zusatzeingaben!F148,IF(AND($A$57="Gewinn aus selbständiger Tätigkeit",F57&gt;0),0,IF(AND(F54&lt;100,F58&lt;200,F69&gt;0),0,F107))))</f>
        <v>0</v>
      </c>
      <c r="G108" s="507">
        <f>IF(AND(G114&gt;0,G54&lt;=400),0,IF(AND(G58&gt;200,Zusatzeingaben!G159&gt;Zusatzeingaben!G157),Zusatzeingaben!G148,IF(AND($A$57="Gewinn aus selbständiger Tätigkeit",G57&gt;0),0,IF(AND(G54&lt;100,G58&lt;200,G69&gt;0),0,G107))))</f>
        <v>0</v>
      </c>
      <c r="H108" s="507">
        <f>IF(AND(H114&gt;0,H54&lt;=400),0,IF(AND(H58&gt;200,Zusatzeingaben!H159&gt;Zusatzeingaben!H157),Zusatzeingaben!H148,IF(AND($A$57="Gewinn aus selbständiger Tätigkeit",H57&gt;0),0,IF(AND(H54&lt;100,H58&lt;200,H69&gt;0),0,H107))))</f>
        <v>0</v>
      </c>
      <c r="I108" s="508">
        <f>IF(AND(I114&gt;0,I54&lt;=400),0,IF(AND(I58&gt;200,Zusatzeingaben!I159&gt;Zusatzeingaben!I157),Zusatzeingaben!I148,IF(AND($A$57="Gewinn aus selbständiger Tätigkeit",I57&gt;0),0,IF(AND(I54&lt;100,I58&lt;200,I69&gt;0),0,I107))))</f>
        <v>0</v>
      </c>
    </row>
    <row r="109" spans="1:9">
      <c r="A109" s="1339">
        <f>IF(B109&gt;0,"./. notwendige Ausgaben",0)</f>
        <v>0</v>
      </c>
      <c r="B109" s="1335">
        <f>SUM(C109:I109)</f>
        <v>0</v>
      </c>
      <c r="C109" s="507">
        <f>Zusatzeingaben!C218</f>
        <v>0</v>
      </c>
      <c r="D109" s="507">
        <f>Zusatzeingaben!D218</f>
        <v>0</v>
      </c>
      <c r="E109" s="507">
        <f>Zusatzeingaben!E218</f>
        <v>0</v>
      </c>
      <c r="F109" s="507">
        <f>Zusatzeingaben!F218</f>
        <v>0</v>
      </c>
      <c r="G109" s="507">
        <f>Zusatzeingaben!G218</f>
        <v>0</v>
      </c>
      <c r="H109" s="507">
        <f>Zusatzeingaben!H218</f>
        <v>0</v>
      </c>
      <c r="I109" s="508">
        <f>Zusatzeingaben!I218</f>
        <v>0</v>
      </c>
    </row>
    <row r="110" spans="1:9" ht="16.5" hidden="1" customHeight="1">
      <c r="A110" s="1341"/>
      <c r="B110" s="522"/>
      <c r="C110" s="522">
        <f>IF(Zusatzeingaben!C161&gt;200,0,Zusatzeingaben!C161)</f>
        <v>0</v>
      </c>
      <c r="D110" s="522">
        <f>IF(Zusatzeingaben!D161&gt;200,0,Zusatzeingaben!D161)</f>
        <v>0</v>
      </c>
      <c r="E110" s="522">
        <f>IF(Zusatzeingaben!E161&gt;200,0,Zusatzeingaben!E161)</f>
        <v>0</v>
      </c>
      <c r="F110" s="522">
        <f>IF(Zusatzeingaben!F161&gt;200,0,Zusatzeingaben!F161)</f>
        <v>0</v>
      </c>
      <c r="G110" s="522">
        <f>IF(Zusatzeingaben!G161&gt;200,0,Zusatzeingaben!G161)</f>
        <v>0</v>
      </c>
      <c r="H110" s="522">
        <f>IF(Zusatzeingaben!H161&gt;200,0,Zusatzeingaben!H161)</f>
        <v>0</v>
      </c>
      <c r="I110" s="523">
        <f>IF(Zusatzeingaben!I161&gt;200,0,Zusatzeingaben!I161)</f>
        <v>0</v>
      </c>
    </row>
    <row r="111" spans="1:9" ht="16.5" hidden="1" customHeight="1">
      <c r="A111" s="1341"/>
      <c r="B111" s="522"/>
      <c r="C111" s="522">
        <f>IF(AND(Zusatzeingaben!C131+Zusatzeingaben!C139&gt;400,Zusatzeingaben!C160&gt;100,Zusatzeingaben!C138&gt;0,Zusatzeingaben!C159+100&gt;Zusatzeingaben!C160),Zusatzeingaben!C159+100,IF(OR(Zusatzeingaben!C153&gt;100,Zusatzeingaben!C156&gt;100),0,IF(AND(Zusatzeingaben!C180&gt;0,Zusatzeingaben!C191&gt;100+Zusatzeingaben!C190),0,C110)))</f>
        <v>0</v>
      </c>
      <c r="D111" s="522">
        <f>IF(AND(Zusatzeingaben!D131+Zusatzeingaben!D139&gt;400,Zusatzeingaben!D160&gt;100,Zusatzeingaben!D138&gt;0,Zusatzeingaben!D159+100&gt;Zusatzeingaben!D160),Zusatzeingaben!D159+100,IF(OR(Zusatzeingaben!D153&gt;100,Zusatzeingaben!D156&gt;100),0,IF(AND(Zusatzeingaben!D180&gt;0,Zusatzeingaben!D191&gt;100+Zusatzeingaben!D190),0,D110)))</f>
        <v>0</v>
      </c>
      <c r="E111" s="522">
        <f>IF(AND(Zusatzeingaben!E131+Zusatzeingaben!E139&gt;400,Zusatzeingaben!E160&gt;100,Zusatzeingaben!E138&gt;0,Zusatzeingaben!E159+100&gt;Zusatzeingaben!E160),Zusatzeingaben!E159+100,IF(OR(Zusatzeingaben!E153&gt;100,Zusatzeingaben!E156&gt;100),0,IF(AND(Zusatzeingaben!E180&gt;0,Zusatzeingaben!E191&gt;100+Zusatzeingaben!E190),0,E110)))</f>
        <v>0</v>
      </c>
      <c r="F111" s="522">
        <f>IF(AND(Zusatzeingaben!F131+Zusatzeingaben!F139&gt;400,Zusatzeingaben!F160&gt;100,Zusatzeingaben!F138&gt;0,Zusatzeingaben!F159+100&gt;Zusatzeingaben!F160),Zusatzeingaben!F159+100,IF(OR(Zusatzeingaben!F153&gt;100,Zusatzeingaben!F156&gt;100),0,IF(AND(Zusatzeingaben!F180&gt;0,Zusatzeingaben!F191&gt;100+Zusatzeingaben!F190),0,F110)))</f>
        <v>0</v>
      </c>
      <c r="G111" s="522">
        <f>IF(AND(Zusatzeingaben!G131+Zusatzeingaben!G139&gt;400,Zusatzeingaben!G160&gt;100,Zusatzeingaben!G138&gt;0,Zusatzeingaben!G159+100&gt;Zusatzeingaben!G160),Zusatzeingaben!G159+100,IF(OR(Zusatzeingaben!G153&gt;100,Zusatzeingaben!G156&gt;100),0,IF(AND(Zusatzeingaben!G180&gt;0,Zusatzeingaben!G191&gt;100+Zusatzeingaben!G190),0,G110)))</f>
        <v>0</v>
      </c>
      <c r="H111" s="522">
        <f>IF(AND(Zusatzeingaben!H131+Zusatzeingaben!H139&gt;400,Zusatzeingaben!H160&gt;100,Zusatzeingaben!H138&gt;0,Zusatzeingaben!H159+100&gt;Zusatzeingaben!H160),Zusatzeingaben!H159+100,IF(OR(Zusatzeingaben!H153&gt;100,Zusatzeingaben!H156&gt;100),0,IF(AND(Zusatzeingaben!H180&gt;0,Zusatzeingaben!H191&gt;100+Zusatzeingaben!H190),0,H110)))</f>
        <v>0</v>
      </c>
      <c r="I111" s="523">
        <f>IF(AND(Zusatzeingaben!I131+Zusatzeingaben!I139&gt;400,Zusatzeingaben!I160&gt;100,Zusatzeingaben!I138&gt;0,Zusatzeingaben!I159+100&gt;Zusatzeingaben!I160),Zusatzeingaben!I159+100,IF(OR(Zusatzeingaben!I153&gt;100,Zusatzeingaben!I156&gt;100),0,IF(AND(Zusatzeingaben!I180&gt;0,Zusatzeingaben!I191&gt;100+Zusatzeingaben!I190),0,I110)))</f>
        <v>0</v>
      </c>
    </row>
    <row r="112" spans="1:9" ht="16.5" hidden="1" customHeight="1">
      <c r="A112" s="1341"/>
      <c r="B112" s="522"/>
      <c r="C112" s="522">
        <f>IF(OR(Zusatzeingaben!C161=100,Zusatzeingaben!C161=200),Zusatzeingaben!C161,C111)</f>
        <v>0</v>
      </c>
      <c r="D112" s="522">
        <f>IF(OR(Zusatzeingaben!D161=100,Zusatzeingaben!D161=200),Zusatzeingaben!D161,D111)</f>
        <v>0</v>
      </c>
      <c r="E112" s="522">
        <f>IF(OR(Zusatzeingaben!E161=100,Zusatzeingaben!E161=200),Zusatzeingaben!E161,E111)</f>
        <v>0</v>
      </c>
      <c r="F112" s="522">
        <f>IF(OR(Zusatzeingaben!F161=100,Zusatzeingaben!F161=200),Zusatzeingaben!F161,F111)</f>
        <v>0</v>
      </c>
      <c r="G112" s="522">
        <f>IF(OR(Zusatzeingaben!G161=100,Zusatzeingaben!G161=200),Zusatzeingaben!G161,G111)</f>
        <v>0</v>
      </c>
      <c r="H112" s="522">
        <f>IF(OR(Zusatzeingaben!H161=100,Zusatzeingaben!H161=200),Zusatzeingaben!H161,H111)</f>
        <v>0</v>
      </c>
      <c r="I112" s="523">
        <f>IF(OR(Zusatzeingaben!I161=100,Zusatzeingaben!I161=200),Zusatzeingaben!I161,I111)</f>
        <v>0</v>
      </c>
    </row>
    <row r="113" spans="1:64" ht="16.5" customHeight="1">
      <c r="A113" s="976">
        <f>IF(B113&gt;0,"./. Grundfreibetrag Lohn / Ehrenamt",0)</f>
        <v>0</v>
      </c>
      <c r="B113" s="1335">
        <f>SUM(C113:I113)</f>
        <v>0</v>
      </c>
      <c r="C113" s="522">
        <f>IF(AND(Zusatzeingaben!C180&gt;0,Zusatzeingaben!C180&lt;Zusatzeingaben!C191),C112,IF(AND(Zusatzeingaben!C180&gt;0,C111=0,Zusatzeingaben!C191&gt;100),0,IF(C110&lt;100,C110,C112)))</f>
        <v>0</v>
      </c>
      <c r="D113" s="522">
        <f>IF(AND(Zusatzeingaben!D180&gt;0,Zusatzeingaben!D180&lt;Zusatzeingaben!D191),D112,IF(AND(Zusatzeingaben!D180&gt;0,D111=0,Zusatzeingaben!D191&gt;100),0,IF(D110&lt;100,D110,D112)))</f>
        <v>0</v>
      </c>
      <c r="E113" s="522">
        <f>IF(AND(Zusatzeingaben!E180&gt;0,Zusatzeingaben!E180&lt;Zusatzeingaben!E191),E112,IF(AND(Zusatzeingaben!E180&gt;0,E111=0,Zusatzeingaben!E191&gt;100),0,IF(E110&lt;100,E110,E112)))</f>
        <v>0</v>
      </c>
      <c r="F113" s="522">
        <f>IF(AND(Zusatzeingaben!F180&gt;0,Zusatzeingaben!F180&lt;Zusatzeingaben!F191),F112,IF(AND(Zusatzeingaben!F180&gt;0,F111=0,Zusatzeingaben!F191&gt;100),0,IF(F110&lt;100,F110,F112)))</f>
        <v>0</v>
      </c>
      <c r="G113" s="522">
        <f>IF(AND(Zusatzeingaben!G180&gt;0,Zusatzeingaben!G180&lt;Zusatzeingaben!G191),G112,IF(AND(Zusatzeingaben!G180&gt;0,G111=0,Zusatzeingaben!G191&gt;100),0,IF(G110&lt;100,G110,G112)))</f>
        <v>0</v>
      </c>
      <c r="H113" s="522">
        <f>IF(AND(Zusatzeingaben!H180&gt;0,Zusatzeingaben!H180&lt;Zusatzeingaben!H191),H112,IF(AND(Zusatzeingaben!H180&gt;0,H111=0,Zusatzeingaben!H191&gt;100),0,IF(H110&lt;100,H110,H112)))</f>
        <v>0</v>
      </c>
      <c r="I113" s="523">
        <f>IF(AND(Zusatzeingaben!I180&gt;0,Zusatzeingaben!I180&lt;Zusatzeingaben!I191),I112,IF(AND(Zusatzeingaben!I180&gt;0,I111=0,Zusatzeingaben!I191&gt;100),0,IF(I110&lt;100,I110,I112)))</f>
        <v>0</v>
      </c>
    </row>
    <row r="114" spans="1:64" ht="16.5" customHeight="1">
      <c r="A114" s="976">
        <f>IF(B114&gt;0,"./. Freibetrag Freiwilligendienste",0)</f>
        <v>0</v>
      </c>
      <c r="B114" s="1335">
        <f>SUM(C114:I114)</f>
        <v>0</v>
      </c>
      <c r="C114" s="522">
        <f>Zusatzeingaben!C173</f>
        <v>0</v>
      </c>
      <c r="D114" s="522">
        <f>Zusatzeingaben!D173</f>
        <v>0</v>
      </c>
      <c r="E114" s="522">
        <f>Zusatzeingaben!E173</f>
        <v>0</v>
      </c>
      <c r="F114" s="522">
        <f>Zusatzeingaben!F173</f>
        <v>0</v>
      </c>
      <c r="G114" s="522">
        <f>Zusatzeingaben!G173</f>
        <v>0</v>
      </c>
      <c r="H114" s="522">
        <f>Zusatzeingaben!H173</f>
        <v>0</v>
      </c>
      <c r="I114" s="523">
        <f>Zusatzeingaben!I173</f>
        <v>0</v>
      </c>
    </row>
    <row r="115" spans="1:64" ht="16.5" hidden="1" customHeight="1">
      <c r="A115" s="1339"/>
      <c r="B115" s="522"/>
      <c r="C115" s="522">
        <f>IF(AND(Zusatzeingaben!C197&gt;0,C58=0),C54*0.3,IF(AND(Zusatzeingaben!C34="nein",C58=0),C54*0.3,0))</f>
        <v>0</v>
      </c>
      <c r="D115" s="522">
        <f>IF(AND(Zusatzeingaben!D197&gt;0,D58=0),D54*0.3,IF(AND(Zusatzeingaben!D34="nein",D58=0),D54*0.3,0))</f>
        <v>0</v>
      </c>
      <c r="E115" s="522">
        <f>IF(AND(Zusatzeingaben!E18&gt;14,Zusatzeingaben!E34="nein",E58=0),E54*0.3,0)</f>
        <v>0</v>
      </c>
      <c r="F115" s="522">
        <f>IF(AND(Zusatzeingaben!F18&gt;14,Zusatzeingaben!F34="nein",F58=0),F54*0.3,0)</f>
        <v>0</v>
      </c>
      <c r="G115" s="522">
        <f>IF(AND(Zusatzeingaben!G18&gt;14,Zusatzeingaben!G34="nein",G58=0),G54*0.3,0)</f>
        <v>0</v>
      </c>
      <c r="H115" s="522">
        <f>IF(AND(Zusatzeingaben!H18&gt;14,Zusatzeingaben!H34="nein",H58=0),H54*0.3,0)</f>
        <v>0</v>
      </c>
      <c r="I115" s="523">
        <f>IF(AND(Zusatzeingaben!I18&gt;14,Zusatzeingaben!I34="nein",I58=0),I54*0.3,0)</f>
        <v>0</v>
      </c>
      <c r="J115" s="1080"/>
      <c r="K115" s="1080"/>
      <c r="L115" s="1080"/>
      <c r="M115" s="1080"/>
      <c r="N115" s="1080"/>
      <c r="O115" s="1080"/>
      <c r="P115" s="1080"/>
      <c r="Q115" s="1080"/>
      <c r="R115" s="1080"/>
      <c r="S115" s="1080"/>
      <c r="T115" s="1080"/>
      <c r="U115" s="1080"/>
      <c r="V115" s="1080"/>
      <c r="W115" s="1080"/>
      <c r="X115" s="1080"/>
      <c r="Y115" s="1080"/>
      <c r="Z115" s="1080"/>
      <c r="AA115" s="1080"/>
      <c r="AB115" s="1080"/>
      <c r="AC115" s="1080"/>
      <c r="AD115" s="1080"/>
      <c r="AE115" s="1080"/>
      <c r="AF115" s="1080"/>
      <c r="AG115" s="1080"/>
      <c r="AH115" s="1080"/>
      <c r="AI115" s="1080"/>
      <c r="AJ115" s="1080"/>
      <c r="AK115" s="1080"/>
      <c r="AL115" s="1080"/>
      <c r="AM115" s="1080"/>
      <c r="AN115" s="1080"/>
      <c r="AO115" s="1080"/>
      <c r="AP115" s="1080"/>
      <c r="AQ115" s="1080"/>
      <c r="AR115" s="1080"/>
      <c r="AS115" s="1080"/>
      <c r="AT115" s="1080"/>
      <c r="AU115" s="1080"/>
      <c r="AV115" s="1080"/>
      <c r="AW115" s="1080"/>
      <c r="AX115" s="1080"/>
      <c r="AY115" s="1080"/>
      <c r="AZ115" s="1080"/>
      <c r="BA115" s="1080"/>
      <c r="BB115" s="1080"/>
      <c r="BC115" s="1080"/>
      <c r="BD115" s="1080"/>
      <c r="BE115" s="1080"/>
      <c r="BF115" s="1080"/>
      <c r="BG115" s="1080"/>
      <c r="BH115" s="1080"/>
      <c r="BI115" s="1080"/>
      <c r="BJ115" s="1080"/>
      <c r="BK115" s="1080"/>
      <c r="BL115" s="1080"/>
    </row>
    <row r="116" spans="1:64" ht="16.5" hidden="1" customHeight="1">
      <c r="A116" s="1339"/>
      <c r="B116" s="522"/>
      <c r="C116" s="522">
        <f>IF(AND(Zusatzeingaben!C197&gt;0,C115=0,C58&gt;0),0,IF(AND(Zusatzeingaben!C34="nein",C115=0,C58&gt;0),0,IF(C115&gt;0,MIN(C115,Zusatzeingaben!$C$233*0.5),D190)))</f>
        <v>0</v>
      </c>
      <c r="D116" s="522">
        <f>IF(AND(Zusatzeingaben!D197&gt;0,D115=0,D58&gt;0),0,IF(AND(Zusatzeingaben!D34="nein",D115=0,D58&gt;0),0,IF(D115&gt;0,MIN(D115,Zusatzeingaben!$C$233*0.5),D195)))</f>
        <v>0</v>
      </c>
      <c r="E116" s="522">
        <f>IF(AND(Zusatzeingaben!E18&gt;14,Zusatzeingaben!E34="nein",E115=0,E58&gt;0),0,IF(Zusatzeingaben!E18&lt;15,0,IF(E115&gt;0,MIN(E115,Zusatzeingaben!$C$233*0.5),D200)))</f>
        <v>0</v>
      </c>
      <c r="F116" s="522">
        <f>IF(AND(Zusatzeingaben!F18&gt;14,Zusatzeingaben!F34="nein",F115=0,F58&gt;0),0,IF(Zusatzeingaben!F18&lt;15,0,IF(F115&gt;0,MIN(F115,Zusatzeingaben!$C$233*0.5),D205)))</f>
        <v>0</v>
      </c>
      <c r="G116" s="522">
        <f>IF(AND(Zusatzeingaben!G18&gt;14,Zusatzeingaben!G34="nein",G115=0,G58&gt;0),0,IF(Zusatzeingaben!G18&lt;15,0,IF(G115&gt;0,MIN(G115,Zusatzeingaben!$C$233*0.5),D210)))</f>
        <v>0</v>
      </c>
      <c r="H116" s="522">
        <f>IF(AND(Zusatzeingaben!H18&gt;14,Zusatzeingaben!H34="nein",H115=0,H58&gt;0),0,IF(Zusatzeingaben!H18&lt;15,0,IF(H115&gt;0,MIN(H115,Zusatzeingaben!$C$233*0.5),D215)))</f>
        <v>0</v>
      </c>
      <c r="I116" s="523">
        <f>IF(AND(Zusatzeingaben!I18&gt;14,Zusatzeingaben!I34="nein",I115=0,I58&gt;0),0,IF(Zusatzeingaben!I18&lt;15,0,IF(I115&gt;0,MIN(I115,Zusatzeingaben!$C$233*0.5),D220)))</f>
        <v>0</v>
      </c>
      <c r="J116" s="1080"/>
      <c r="K116" s="1080"/>
      <c r="L116" s="1080"/>
      <c r="M116" s="1080"/>
      <c r="N116" s="1080"/>
      <c r="O116" s="1080"/>
      <c r="P116" s="1080"/>
      <c r="Q116" s="1080"/>
      <c r="R116" s="1080"/>
      <c r="S116" s="1080"/>
      <c r="T116" s="1080"/>
      <c r="U116" s="1080"/>
      <c r="V116" s="1080"/>
      <c r="W116" s="1080"/>
      <c r="X116" s="1080"/>
      <c r="Y116" s="1080"/>
      <c r="Z116" s="1080"/>
      <c r="AA116" s="1080"/>
      <c r="AB116" s="1080"/>
      <c r="AC116" s="1080"/>
      <c r="AD116" s="1080"/>
      <c r="AE116" s="1080"/>
      <c r="AF116" s="1080"/>
      <c r="AG116" s="1080"/>
      <c r="AH116" s="1080"/>
      <c r="AI116" s="1080"/>
      <c r="AJ116" s="1080"/>
      <c r="AK116" s="1080"/>
      <c r="AL116" s="1080"/>
      <c r="AM116" s="1080"/>
      <c r="AN116" s="1080"/>
      <c r="AO116" s="1080"/>
      <c r="AP116" s="1080"/>
      <c r="AQ116" s="1080"/>
      <c r="AR116" s="1080"/>
      <c r="AS116" s="1080"/>
      <c r="AT116" s="1080"/>
      <c r="AU116" s="1080"/>
      <c r="AV116" s="1080"/>
      <c r="AW116" s="1080"/>
      <c r="AX116" s="1080"/>
      <c r="AY116" s="1080"/>
      <c r="AZ116" s="1080"/>
      <c r="BA116" s="1080"/>
      <c r="BB116" s="1080"/>
      <c r="BC116" s="1080"/>
      <c r="BD116" s="1080"/>
      <c r="BE116" s="1080"/>
      <c r="BF116" s="1080"/>
      <c r="BG116" s="1080"/>
      <c r="BH116" s="1080"/>
      <c r="BI116" s="1080"/>
      <c r="BJ116" s="1080"/>
      <c r="BK116" s="1080"/>
      <c r="BL116" s="1080"/>
    </row>
    <row r="117" spans="1:64" ht="16.5" customHeight="1">
      <c r="A117" s="1339">
        <f>IF(B117&gt;0,"./. Freibetrag bei Erwerbstätigkeit",0)</f>
        <v>0</v>
      </c>
      <c r="B117" s="1335">
        <f t="shared" ref="B117:B122" si="11">SUM(C117:I117)</f>
        <v>0</v>
      </c>
      <c r="C117" s="522">
        <f t="shared" ref="C117:I117" si="12">IF(C54+C58-C113=0,0,IF(C54+C58-C113-C116&lt;0,C54+C58-C113,C116))</f>
        <v>0</v>
      </c>
      <c r="D117" s="522">
        <f t="shared" si="12"/>
        <v>0</v>
      </c>
      <c r="E117" s="522">
        <f t="shared" si="12"/>
        <v>0</v>
      </c>
      <c r="F117" s="522">
        <f t="shared" si="12"/>
        <v>0</v>
      </c>
      <c r="G117" s="522">
        <f t="shared" si="12"/>
        <v>0</v>
      </c>
      <c r="H117" s="522">
        <f t="shared" si="12"/>
        <v>0</v>
      </c>
      <c r="I117" s="523">
        <f t="shared" si="12"/>
        <v>0</v>
      </c>
      <c r="J117" s="1080"/>
      <c r="K117" s="1080"/>
      <c r="L117" s="1080"/>
      <c r="M117" s="1080"/>
      <c r="N117" s="1080"/>
      <c r="O117" s="1080"/>
      <c r="P117" s="1080"/>
      <c r="Q117" s="1080"/>
      <c r="R117" s="1080"/>
      <c r="S117" s="1080"/>
      <c r="T117" s="1080"/>
      <c r="U117" s="1080"/>
      <c r="V117" s="1080"/>
      <c r="W117" s="1080"/>
      <c r="X117" s="1080"/>
      <c r="Y117" s="1080"/>
      <c r="Z117" s="1080"/>
      <c r="AA117" s="1080"/>
      <c r="AB117" s="1080"/>
      <c r="AC117" s="1080"/>
      <c r="AD117" s="1080"/>
      <c r="AE117" s="1080"/>
      <c r="AF117" s="1080"/>
      <c r="AG117" s="1080"/>
      <c r="AH117" s="1080"/>
      <c r="AI117" s="1080"/>
      <c r="AJ117" s="1080"/>
      <c r="AK117" s="1080"/>
      <c r="AL117" s="1080"/>
      <c r="AM117" s="1080"/>
      <c r="AN117" s="1080"/>
      <c r="AO117" s="1080"/>
      <c r="AP117" s="1080"/>
      <c r="AQ117" s="1080"/>
      <c r="AR117" s="1080"/>
      <c r="AS117" s="1080"/>
      <c r="AT117" s="1080"/>
      <c r="AU117" s="1080"/>
      <c r="AV117" s="1080"/>
      <c r="AW117" s="1080"/>
      <c r="AX117" s="1080"/>
      <c r="AY117" s="1080"/>
      <c r="AZ117" s="1080"/>
      <c r="BA117" s="1080"/>
      <c r="BB117" s="1080"/>
      <c r="BC117" s="1080"/>
      <c r="BD117" s="1080"/>
      <c r="BE117" s="1080"/>
      <c r="BF117" s="1080"/>
      <c r="BG117" s="1080"/>
      <c r="BH117" s="1080"/>
      <c r="BI117" s="1080"/>
      <c r="BJ117" s="1080"/>
      <c r="BK117" s="1080"/>
      <c r="BL117" s="1080"/>
    </row>
    <row r="118" spans="1:64" ht="16.5" customHeight="1">
      <c r="A118" s="1339">
        <f>IF(B118&gt;0,"./. Unterhaltsverpflichtungen",0)</f>
        <v>0</v>
      </c>
      <c r="B118" s="1335">
        <f t="shared" si="11"/>
        <v>0</v>
      </c>
      <c r="C118" s="522">
        <f>IF(C70=0,0,Zusatzeingaben!C219)</f>
        <v>0</v>
      </c>
      <c r="D118" s="522">
        <f>IF(D70=0,0,Zusatzeingaben!D219)</f>
        <v>0</v>
      </c>
      <c r="E118" s="522">
        <f>IF(E70=0,0,Zusatzeingaben!E219)</f>
        <v>0</v>
      </c>
      <c r="F118" s="522">
        <f>IF(F70=0,0,Zusatzeingaben!F219)</f>
        <v>0</v>
      </c>
      <c r="G118" s="522">
        <f>IF(G70=0,0,Zusatzeingaben!G219)</f>
        <v>0</v>
      </c>
      <c r="H118" s="522">
        <f>IF(H70=0,0,Zusatzeingaben!H219)</f>
        <v>0</v>
      </c>
      <c r="I118" s="523">
        <f>IF(I70=0,0,Zusatzeingaben!I219)</f>
        <v>0</v>
      </c>
      <c r="J118" s="1080"/>
      <c r="K118" s="1080"/>
      <c r="L118" s="1080"/>
      <c r="M118" s="1080"/>
      <c r="N118" s="1080"/>
      <c r="O118" s="1080"/>
      <c r="P118" s="1080"/>
      <c r="Q118" s="1080"/>
      <c r="R118" s="1080"/>
      <c r="S118" s="1080"/>
      <c r="T118" s="1080"/>
      <c r="U118" s="1080"/>
      <c r="V118" s="1080"/>
      <c r="W118" s="1080"/>
      <c r="X118" s="1080"/>
      <c r="Y118" s="1080"/>
      <c r="Z118" s="1080"/>
      <c r="AA118" s="1080"/>
      <c r="AB118" s="1080"/>
      <c r="AC118" s="1080"/>
      <c r="AD118" s="1080"/>
      <c r="AE118" s="1080"/>
      <c r="AF118" s="1080"/>
      <c r="AG118" s="1080"/>
      <c r="AH118" s="1080"/>
      <c r="AI118" s="1080"/>
      <c r="AJ118" s="1080"/>
      <c r="AK118" s="1080"/>
      <c r="AL118" s="1080"/>
      <c r="AM118" s="1080"/>
      <c r="AN118" s="1080"/>
      <c r="AO118" s="1080"/>
      <c r="AP118" s="1080"/>
      <c r="AQ118" s="1080"/>
      <c r="AR118" s="1080"/>
      <c r="AS118" s="1080"/>
      <c r="AT118" s="1080"/>
      <c r="AU118" s="1080"/>
      <c r="AV118" s="1080"/>
      <c r="AW118" s="1080"/>
      <c r="AX118" s="1080"/>
      <c r="AY118" s="1080"/>
      <c r="AZ118" s="1080"/>
      <c r="BA118" s="1080"/>
      <c r="BB118" s="1080"/>
      <c r="BC118" s="1080"/>
      <c r="BD118" s="1080"/>
      <c r="BE118" s="1080"/>
      <c r="BF118" s="1080"/>
      <c r="BG118" s="1080"/>
      <c r="BH118" s="1080"/>
      <c r="BI118" s="1080"/>
      <c r="BJ118" s="1080"/>
      <c r="BK118" s="1080"/>
      <c r="BL118" s="1080"/>
    </row>
    <row r="119" spans="1:64" ht="16.5" customHeight="1">
      <c r="A119" s="1369">
        <f>IF(B119&gt;0,"./. Elterngeldfreibetrag",0)</f>
        <v>0</v>
      </c>
      <c r="B119" s="1335">
        <f t="shared" si="11"/>
        <v>0</v>
      </c>
      <c r="C119" s="522">
        <f>Zusatzeingaben!C179</f>
        <v>0</v>
      </c>
      <c r="D119" s="522">
        <f>Zusatzeingaben!D179</f>
        <v>0</v>
      </c>
      <c r="E119" s="522"/>
      <c r="F119" s="522"/>
      <c r="G119" s="1361"/>
      <c r="H119" s="1361"/>
      <c r="I119" s="1370"/>
      <c r="J119" s="1080"/>
      <c r="K119" s="1080"/>
      <c r="L119" s="1080"/>
      <c r="M119" s="1080"/>
      <c r="N119" s="1080"/>
      <c r="O119" s="1080"/>
      <c r="P119" s="1080"/>
      <c r="Q119" s="1080"/>
      <c r="R119" s="1080"/>
      <c r="S119" s="1080"/>
      <c r="T119" s="1080"/>
      <c r="U119" s="1080"/>
      <c r="V119" s="1080"/>
      <c r="W119" s="1080"/>
      <c r="X119" s="1080"/>
      <c r="Y119" s="1080"/>
      <c r="Z119" s="1080"/>
      <c r="AA119" s="1080"/>
      <c r="AB119" s="1080"/>
      <c r="AC119" s="1080"/>
      <c r="AD119" s="1080"/>
      <c r="AE119" s="1080"/>
      <c r="AF119" s="1080"/>
      <c r="AG119" s="1080"/>
      <c r="AH119" s="1080"/>
      <c r="AI119" s="1080"/>
      <c r="AJ119" s="1080"/>
      <c r="AK119" s="1080"/>
      <c r="AL119" s="1080"/>
      <c r="AM119" s="1080"/>
      <c r="AN119" s="1080"/>
      <c r="AO119" s="1080"/>
      <c r="AP119" s="1080"/>
      <c r="AQ119" s="1080"/>
      <c r="AR119" s="1080"/>
      <c r="AS119" s="1080"/>
      <c r="AT119" s="1080"/>
      <c r="AU119" s="1080"/>
      <c r="AV119" s="1080"/>
      <c r="AW119" s="1080"/>
      <c r="AX119" s="1080"/>
      <c r="AY119" s="1080"/>
      <c r="AZ119" s="1080"/>
      <c r="BA119" s="1080"/>
      <c r="BB119" s="1080"/>
      <c r="BC119" s="1080"/>
      <c r="BD119" s="1080"/>
      <c r="BE119" s="1080"/>
      <c r="BF119" s="1080"/>
      <c r="BG119" s="1080"/>
      <c r="BH119" s="1080"/>
      <c r="BI119" s="1080"/>
      <c r="BJ119" s="1080"/>
      <c r="BK119" s="1080"/>
      <c r="BL119" s="1080"/>
    </row>
    <row r="120" spans="1:64" ht="18" customHeight="1">
      <c r="A120" s="1606">
        <f>IF(AND(B120&gt;0,C120=Zusatzeingaben!C189),"./. Grundfreibetrag Ausbildungsförderung",IF(AND(B120&gt;0,C120=Zusatzeingaben!C190),"./. Ausgaben für die Ausbildung",0))</f>
        <v>0</v>
      </c>
      <c r="B120" s="1357">
        <f t="shared" si="11"/>
        <v>0</v>
      </c>
      <c r="C120" s="1024">
        <f>IF(Zusatzeingaben!C191&gt;100,Zusatzeingaben!C190,IF(AND(Zusatzeingaben!C190&gt;0,Zusatzeingaben!C190&gt;Zusatzeingaben!C189),Zusatzeingaben!C190,Zusatzeingaben!C189))</f>
        <v>0</v>
      </c>
      <c r="D120" s="1024">
        <f>IF(Zusatzeingaben!D191&gt;100,Zusatzeingaben!D190,IF(AND(Zusatzeingaben!D190&gt;0,Zusatzeingaben!D190&gt;Zusatzeingaben!D189),Zusatzeingaben!D190,Zusatzeingaben!D189))</f>
        <v>0</v>
      </c>
      <c r="E120" s="1024">
        <f>IF(Zusatzeingaben!E191&gt;100,Zusatzeingaben!E190,IF(AND(Zusatzeingaben!E190&gt;0,Zusatzeingaben!E190&gt;Zusatzeingaben!E189),Zusatzeingaben!E190,Zusatzeingaben!E189))</f>
        <v>0</v>
      </c>
      <c r="F120" s="1024">
        <f>IF(Zusatzeingaben!F191&gt;100,Zusatzeingaben!F190,IF(AND(Zusatzeingaben!F190&gt;0,Zusatzeingaben!F190&gt;Zusatzeingaben!F189),Zusatzeingaben!F190,Zusatzeingaben!F189))</f>
        <v>0</v>
      </c>
      <c r="G120" s="1024">
        <f>IF(Zusatzeingaben!G191&gt;100,Zusatzeingaben!G190,IF(AND(Zusatzeingaben!G190&gt;0,Zusatzeingaben!G190&gt;Zusatzeingaben!G189),Zusatzeingaben!G190,Zusatzeingaben!G189))</f>
        <v>0</v>
      </c>
      <c r="H120" s="1024">
        <f>IF(Zusatzeingaben!H191&gt;100,Zusatzeingaben!H190,IF(AND(Zusatzeingaben!H190&gt;0,Zusatzeingaben!H190&gt;Zusatzeingaben!H189),Zusatzeingaben!H190,Zusatzeingaben!H189))</f>
        <v>0</v>
      </c>
      <c r="I120" s="1025">
        <f>IF(Zusatzeingaben!I191&gt;100,Zusatzeingaben!I190,IF(AND(Zusatzeingaben!I190&gt;0,Zusatzeingaben!I190&gt;Zusatzeingaben!I189),Zusatzeingaben!I190,Zusatzeingaben!I189))</f>
        <v>0</v>
      </c>
      <c r="J120" s="1080"/>
      <c r="K120" s="1080"/>
      <c r="L120" s="1080"/>
      <c r="M120" s="1080"/>
      <c r="N120" s="1080"/>
      <c r="O120" s="1080"/>
      <c r="P120" s="1080"/>
      <c r="Q120" s="1080"/>
      <c r="R120" s="1080"/>
      <c r="S120" s="1080"/>
      <c r="T120" s="1080"/>
      <c r="U120" s="1080"/>
      <c r="V120" s="1080"/>
      <c r="W120" s="1080"/>
      <c r="X120" s="1080"/>
      <c r="Y120" s="1080"/>
      <c r="Z120" s="1080"/>
      <c r="AA120" s="1080"/>
      <c r="AB120" s="1080"/>
      <c r="AC120" s="1080"/>
      <c r="AD120" s="1080"/>
      <c r="AE120" s="1080"/>
      <c r="AF120" s="1080"/>
      <c r="AG120" s="1080"/>
      <c r="AH120" s="1080"/>
      <c r="AI120" s="1080"/>
      <c r="AJ120" s="1080"/>
      <c r="AK120" s="1080"/>
      <c r="AL120" s="1080"/>
      <c r="AM120" s="1080"/>
      <c r="AN120" s="1080"/>
      <c r="AO120" s="1080"/>
      <c r="AP120" s="1080"/>
      <c r="AQ120" s="1080"/>
      <c r="AR120" s="1080"/>
      <c r="AS120" s="1080"/>
      <c r="AT120" s="1080"/>
      <c r="AU120" s="1080"/>
      <c r="AV120" s="1080"/>
      <c r="AW120" s="1080"/>
      <c r="AX120" s="1080"/>
      <c r="AY120" s="1080"/>
      <c r="AZ120" s="1080"/>
      <c r="BA120" s="1080"/>
      <c r="BB120" s="1080"/>
      <c r="BC120" s="1080"/>
      <c r="BD120" s="1080"/>
      <c r="BE120" s="1080"/>
      <c r="BF120" s="1080"/>
      <c r="BG120" s="1080"/>
      <c r="BH120" s="1080"/>
      <c r="BI120" s="1080"/>
      <c r="BJ120" s="1080"/>
      <c r="BK120" s="1080"/>
      <c r="BL120" s="1080"/>
    </row>
    <row r="121" spans="1:64" ht="18" hidden="1" customHeight="1">
      <c r="A121" s="1037"/>
      <c r="B121" s="637">
        <f t="shared" si="11"/>
        <v>0</v>
      </c>
      <c r="C121" s="1261">
        <f t="shared" ref="C121:I121" si="13">C70-C76-C82-C87-C92-C98-C104-C108-C109-C113-C114-C117-C118-C119-C120</f>
        <v>0</v>
      </c>
      <c r="D121" s="1261">
        <f t="shared" si="13"/>
        <v>0</v>
      </c>
      <c r="E121" s="1261">
        <f t="shared" si="13"/>
        <v>0</v>
      </c>
      <c r="F121" s="1261">
        <f t="shared" si="13"/>
        <v>0</v>
      </c>
      <c r="G121" s="1261">
        <f t="shared" si="13"/>
        <v>0</v>
      </c>
      <c r="H121" s="1261">
        <f t="shared" si="13"/>
        <v>0</v>
      </c>
      <c r="I121" s="1372">
        <f t="shared" si="13"/>
        <v>0</v>
      </c>
      <c r="J121" s="1080"/>
      <c r="K121" s="1080"/>
      <c r="L121" s="1080"/>
      <c r="M121" s="1080"/>
      <c r="N121" s="1080"/>
      <c r="O121" s="1080"/>
      <c r="P121" s="1080"/>
      <c r="Q121" s="1080"/>
      <c r="R121" s="1080"/>
      <c r="S121" s="1080"/>
      <c r="T121" s="1080"/>
      <c r="U121" s="1080"/>
      <c r="V121" s="1080"/>
      <c r="W121" s="1080"/>
      <c r="X121" s="1080"/>
      <c r="Y121" s="1080"/>
      <c r="Z121" s="1080"/>
      <c r="AA121" s="1080"/>
      <c r="AB121" s="1080"/>
      <c r="AC121" s="1080"/>
      <c r="AD121" s="1080"/>
      <c r="AE121" s="1080"/>
      <c r="AF121" s="1080"/>
      <c r="AG121" s="1080"/>
      <c r="AH121" s="1080"/>
      <c r="AI121" s="1080"/>
      <c r="AJ121" s="1080"/>
      <c r="AK121" s="1080"/>
      <c r="AL121" s="1080"/>
      <c r="AM121" s="1080"/>
      <c r="AN121" s="1080"/>
      <c r="AO121" s="1080"/>
      <c r="AP121" s="1080"/>
      <c r="AQ121" s="1080"/>
      <c r="AR121" s="1080"/>
      <c r="AS121" s="1080"/>
      <c r="AT121" s="1080"/>
      <c r="AU121" s="1080"/>
      <c r="AV121" s="1080"/>
      <c r="AW121" s="1080"/>
      <c r="AX121" s="1080"/>
      <c r="AY121" s="1080"/>
      <c r="AZ121" s="1080"/>
      <c r="BA121" s="1080"/>
      <c r="BB121" s="1080"/>
      <c r="BC121" s="1080"/>
      <c r="BD121" s="1080"/>
      <c r="BE121" s="1080"/>
      <c r="BF121" s="1080"/>
      <c r="BG121" s="1080"/>
      <c r="BH121" s="1080"/>
      <c r="BI121" s="1080"/>
      <c r="BJ121" s="1080"/>
      <c r="BK121" s="1080"/>
      <c r="BL121" s="1080"/>
    </row>
    <row r="122" spans="1:64" ht="21" customHeight="1">
      <c r="A122" s="1373" t="s">
        <v>2168</v>
      </c>
      <c r="B122" s="1374">
        <f t="shared" si="11"/>
        <v>0</v>
      </c>
      <c r="C122" s="1374">
        <f t="shared" ref="C122:I122" si="14">IF(C121&lt;0,0,C121)</f>
        <v>0</v>
      </c>
      <c r="D122" s="1374">
        <f t="shared" si="14"/>
        <v>0</v>
      </c>
      <c r="E122" s="1374">
        <f t="shared" si="14"/>
        <v>0</v>
      </c>
      <c r="F122" s="1374">
        <f t="shared" si="14"/>
        <v>0</v>
      </c>
      <c r="G122" s="1374">
        <f t="shared" si="14"/>
        <v>0</v>
      </c>
      <c r="H122" s="1374">
        <f t="shared" si="14"/>
        <v>0</v>
      </c>
      <c r="I122" s="1375">
        <f t="shared" si="14"/>
        <v>0</v>
      </c>
      <c r="J122" s="1080"/>
      <c r="K122" s="1080"/>
      <c r="L122" s="1080"/>
      <c r="M122" s="1080"/>
      <c r="N122" s="1080"/>
      <c r="O122" s="1080"/>
      <c r="P122" s="1080"/>
      <c r="Q122" s="1080"/>
      <c r="R122" s="1080"/>
      <c r="S122" s="1080"/>
      <c r="T122" s="1080"/>
      <c r="U122" s="1080"/>
      <c r="V122" s="1080"/>
      <c r="W122" s="1080"/>
      <c r="X122" s="1080"/>
      <c r="Y122" s="1080"/>
      <c r="Z122" s="1080"/>
      <c r="AA122" s="1080"/>
      <c r="AB122" s="1080"/>
      <c r="AC122" s="1080"/>
      <c r="AD122" s="1080"/>
      <c r="AE122" s="1080"/>
      <c r="AF122" s="1080"/>
      <c r="AG122" s="1080"/>
      <c r="AH122" s="1080"/>
      <c r="AI122" s="1080"/>
      <c r="AJ122" s="1080"/>
      <c r="AK122" s="1080"/>
      <c r="AL122" s="1080"/>
      <c r="AM122" s="1080"/>
      <c r="AN122" s="1080"/>
      <c r="AO122" s="1080"/>
      <c r="AP122" s="1080"/>
      <c r="AQ122" s="1080"/>
      <c r="AR122" s="1080"/>
      <c r="AS122" s="1080"/>
      <c r="AT122" s="1080"/>
      <c r="AU122" s="1080"/>
      <c r="AV122" s="1080"/>
      <c r="AW122" s="1080"/>
      <c r="AX122" s="1080"/>
      <c r="AY122" s="1080"/>
      <c r="AZ122" s="1080"/>
      <c r="BA122" s="1080"/>
      <c r="BB122" s="1080"/>
      <c r="BC122" s="1080"/>
      <c r="BD122" s="1080"/>
      <c r="BE122" s="1080"/>
      <c r="BF122" s="1080"/>
      <c r="BG122" s="1080"/>
      <c r="BH122" s="1080"/>
      <c r="BI122" s="1080"/>
      <c r="BJ122" s="1080"/>
      <c r="BK122" s="1080"/>
      <c r="BL122" s="1080"/>
    </row>
    <row r="123" spans="1:64" ht="10.5" customHeight="1">
      <c r="J123" s="1080"/>
      <c r="K123" s="1080"/>
      <c r="L123" s="1080"/>
      <c r="M123" s="1080"/>
      <c r="N123" s="1080"/>
      <c r="O123" s="1080"/>
      <c r="P123" s="1080"/>
      <c r="Q123" s="1080"/>
      <c r="R123" s="1080"/>
      <c r="S123" s="1080"/>
      <c r="T123" s="1080"/>
      <c r="U123" s="1080"/>
      <c r="V123" s="1080"/>
      <c r="W123" s="1080"/>
      <c r="X123" s="1080"/>
      <c r="Y123" s="1080"/>
      <c r="Z123" s="1080"/>
      <c r="AA123" s="1080"/>
      <c r="AB123" s="1080"/>
      <c r="AC123" s="1080"/>
      <c r="AD123" s="1080"/>
      <c r="AE123" s="1080"/>
      <c r="AF123" s="1080"/>
      <c r="AG123" s="1080"/>
      <c r="AH123" s="1080"/>
      <c r="AI123" s="1080"/>
      <c r="AJ123" s="1080"/>
      <c r="AK123" s="1080"/>
      <c r="AL123" s="1080"/>
      <c r="AM123" s="1080"/>
      <c r="AN123" s="1080"/>
      <c r="AO123" s="1080"/>
      <c r="AP123" s="1080"/>
      <c r="AQ123" s="1080"/>
      <c r="AR123" s="1080"/>
      <c r="AS123" s="1080"/>
      <c r="AT123" s="1080"/>
      <c r="AU123" s="1080"/>
      <c r="AV123" s="1080"/>
      <c r="AW123" s="1080"/>
      <c r="AX123" s="1080"/>
      <c r="AY123" s="1080"/>
      <c r="AZ123" s="1080"/>
      <c r="BA123" s="1080"/>
      <c r="BB123" s="1080"/>
      <c r="BC123" s="1080"/>
      <c r="BD123" s="1080"/>
      <c r="BE123" s="1080"/>
      <c r="BF123" s="1080"/>
      <c r="BG123" s="1080"/>
      <c r="BH123" s="1080"/>
      <c r="BI123" s="1080"/>
      <c r="BJ123" s="1080"/>
      <c r="BK123" s="1080"/>
      <c r="BL123" s="1080"/>
    </row>
    <row r="124" spans="1:64" ht="9.75" customHeight="1"/>
    <row r="125" spans="1:64" ht="21.75" customHeight="1">
      <c r="A125" s="1319"/>
      <c r="B125" s="1320" t="s">
        <v>2169</v>
      </c>
      <c r="C125" s="1316"/>
      <c r="D125" s="1316"/>
      <c r="E125" s="1316"/>
      <c r="F125" s="1316"/>
      <c r="G125" s="1316"/>
      <c r="H125" s="1316"/>
      <c r="I125" s="1321"/>
      <c r="J125" s="1080"/>
      <c r="K125" s="1080"/>
      <c r="L125" s="1080"/>
      <c r="M125" s="1080"/>
      <c r="N125" s="1080"/>
      <c r="O125" s="1080"/>
      <c r="P125" s="1080"/>
      <c r="Q125" s="1080"/>
      <c r="R125" s="1080"/>
      <c r="S125" s="1080"/>
      <c r="T125" s="1080"/>
      <c r="U125" s="1080"/>
      <c r="V125" s="1080"/>
      <c r="W125" s="1080"/>
      <c r="X125" s="1080"/>
      <c r="Y125" s="1080"/>
      <c r="Z125" s="1080"/>
      <c r="AA125" s="1080"/>
      <c r="AB125" s="1080"/>
      <c r="AC125" s="1080"/>
      <c r="AD125" s="1080"/>
      <c r="AE125" s="1080"/>
      <c r="AF125" s="1080"/>
      <c r="AG125" s="1080"/>
      <c r="AH125" s="1080"/>
      <c r="AI125" s="1080"/>
      <c r="AJ125" s="1080"/>
      <c r="AK125" s="1080"/>
      <c r="AL125" s="1080"/>
      <c r="AM125" s="1080"/>
      <c r="AN125" s="1080"/>
      <c r="AO125" s="1080"/>
      <c r="AP125" s="1080"/>
      <c r="AQ125" s="1080"/>
      <c r="AR125" s="1080"/>
      <c r="AS125" s="1080"/>
      <c r="AT125" s="1080"/>
      <c r="AU125" s="1080"/>
      <c r="AV125" s="1080"/>
      <c r="AW125" s="1080"/>
      <c r="AX125" s="1080"/>
      <c r="AY125" s="1080"/>
      <c r="AZ125" s="1080"/>
      <c r="BA125" s="1080"/>
      <c r="BB125" s="1080"/>
      <c r="BC125" s="1080"/>
      <c r="BD125" s="1080"/>
      <c r="BE125" s="1080"/>
      <c r="BF125" s="1080"/>
      <c r="BG125" s="1080"/>
      <c r="BH125" s="1080"/>
      <c r="BI125" s="1080"/>
      <c r="BJ125" s="1080"/>
      <c r="BK125" s="1080"/>
      <c r="BL125" s="1080"/>
    </row>
    <row r="126" spans="1:64" ht="18.75" customHeight="1">
      <c r="A126" s="839"/>
      <c r="B126" s="1322" t="s">
        <v>246</v>
      </c>
      <c r="C126" s="1322" t="str">
        <f>Zusatzeingaben!C4</f>
        <v>Antragsteller</v>
      </c>
      <c r="D126" s="1322" t="str">
        <f>Zusatzeingaben!D4</f>
        <v>Partner(in)</v>
      </c>
      <c r="E126" s="1322" t="str">
        <f>Zusatzeingaben!E4</f>
        <v>Kind 1</v>
      </c>
      <c r="F126" s="1322" t="s">
        <v>145</v>
      </c>
      <c r="G126" s="1322" t="s">
        <v>146</v>
      </c>
      <c r="H126" s="1322" t="s">
        <v>147</v>
      </c>
      <c r="I126" s="1323" t="s">
        <v>148</v>
      </c>
    </row>
    <row r="127" spans="1:64" ht="17.25" customHeight="1">
      <c r="A127" s="1342" t="s">
        <v>127</v>
      </c>
      <c r="B127" s="1335">
        <f>SUM(C127:I127)</f>
        <v>449</v>
      </c>
      <c r="C127" s="1016">
        <f t="shared" ref="C127:I127" si="15">C50</f>
        <v>449</v>
      </c>
      <c r="D127" s="1016">
        <f t="shared" si="15"/>
        <v>0</v>
      </c>
      <c r="E127" s="1016">
        <f t="shared" si="15"/>
        <v>0</v>
      </c>
      <c r="F127" s="1016">
        <f t="shared" si="15"/>
        <v>0</v>
      </c>
      <c r="G127" s="1016">
        <f t="shared" si="15"/>
        <v>0</v>
      </c>
      <c r="H127" s="1016">
        <f t="shared" si="15"/>
        <v>0</v>
      </c>
      <c r="I127" s="1017">
        <f t="shared" si="15"/>
        <v>0</v>
      </c>
    </row>
    <row r="128" spans="1:64" ht="19.5" customHeight="1">
      <c r="A128" s="1376">
        <f>IF(B128&gt;0,"./. Einkommen Kinder",0)</f>
        <v>0</v>
      </c>
      <c r="B128" s="1377">
        <f>SUM(C128:I128)</f>
        <v>0</v>
      </c>
      <c r="C128" s="1378"/>
      <c r="D128" s="1378"/>
      <c r="E128" s="1227">
        <f>E122</f>
        <v>0</v>
      </c>
      <c r="F128" s="1227">
        <f>F122</f>
        <v>0</v>
      </c>
      <c r="G128" s="1227">
        <f>G122</f>
        <v>0</v>
      </c>
      <c r="H128" s="1227">
        <f>H122</f>
        <v>0</v>
      </c>
      <c r="I128" s="1228">
        <f>I122</f>
        <v>0</v>
      </c>
    </row>
    <row r="129" spans="1:11" ht="17.25" hidden="1" customHeight="1">
      <c r="A129" s="1379"/>
      <c r="B129" s="1380"/>
      <c r="C129" s="1380"/>
      <c r="D129" s="1380"/>
      <c r="E129" s="507">
        <f>E127-E128</f>
        <v>0</v>
      </c>
      <c r="F129" s="507">
        <f>F127-F128</f>
        <v>0</v>
      </c>
      <c r="G129" s="507">
        <f>G127-G128</f>
        <v>0</v>
      </c>
      <c r="H129" s="507">
        <f>H127-H128</f>
        <v>0</v>
      </c>
      <c r="I129" s="508">
        <f>I127-I128</f>
        <v>0</v>
      </c>
    </row>
    <row r="130" spans="1:11" ht="17.25" hidden="1" customHeight="1">
      <c r="A130" s="833"/>
      <c r="B130" s="869"/>
      <c r="C130" s="899"/>
      <c r="D130" s="899"/>
      <c r="E130" s="899">
        <f>IF(E129&lt;0,0,E129)</f>
        <v>0</v>
      </c>
      <c r="F130" s="899">
        <f>IF(F129&lt;0,0,F129)</f>
        <v>0</v>
      </c>
      <c r="G130" s="899">
        <f>IF(G129&lt;0,0,G129)</f>
        <v>0</v>
      </c>
      <c r="H130" s="899">
        <f>IF(H129&lt;0,0,H129)</f>
        <v>0</v>
      </c>
      <c r="I130" s="900">
        <f>IF(I129&lt;0,0,I129)</f>
        <v>0</v>
      </c>
    </row>
    <row r="131" spans="1:11" ht="19.5" customHeight="1">
      <c r="A131" s="1342" t="s">
        <v>2170</v>
      </c>
      <c r="B131" s="1335">
        <f>SUM(C131:I131)</f>
        <v>449</v>
      </c>
      <c r="C131" s="1016">
        <f>C127</f>
        <v>449</v>
      </c>
      <c r="D131" s="1016">
        <f>D127</f>
        <v>0</v>
      </c>
      <c r="E131" s="1016">
        <f>E130</f>
        <v>0</v>
      </c>
      <c r="F131" s="1016">
        <f>F130</f>
        <v>0</v>
      </c>
      <c r="G131" s="1016">
        <f>G130</f>
        <v>0</v>
      </c>
      <c r="H131" s="1016">
        <f>H130</f>
        <v>0</v>
      </c>
      <c r="I131" s="1017">
        <f>I130</f>
        <v>0</v>
      </c>
      <c r="K131" s="1154"/>
    </row>
    <row r="132" spans="1:11" ht="18" hidden="1" customHeight="1">
      <c r="A132" s="1342"/>
      <c r="B132" s="1335">
        <f>SUM(C132:I132)</f>
        <v>449</v>
      </c>
      <c r="C132" s="1016">
        <f>IF(C10="ja",C131,0)</f>
        <v>449</v>
      </c>
      <c r="D132" s="1016">
        <f>IF(D10="ja",D131,0)</f>
        <v>0</v>
      </c>
      <c r="E132" s="1016">
        <f>IF(AND(Zusatzeingaben!E37=0,E10="ja"),E131,0)</f>
        <v>0</v>
      </c>
      <c r="F132" s="1016">
        <f>IF(F10="ja",F131,0)</f>
        <v>0</v>
      </c>
      <c r="G132" s="1016">
        <f>IF(G10="ja",G131,0)</f>
        <v>0</v>
      </c>
      <c r="H132" s="1016">
        <f>IF(H10="ja",H131,0)</f>
        <v>0</v>
      </c>
      <c r="I132" s="1017">
        <f>IF(I10="ja",I131,0)</f>
        <v>0</v>
      </c>
    </row>
    <row r="133" spans="1:11" ht="17.25" customHeight="1">
      <c r="A133" s="1382" t="s">
        <v>2171</v>
      </c>
      <c r="B133" s="1383">
        <f>SUM(C133:I133)</f>
        <v>1</v>
      </c>
      <c r="C133" s="1384">
        <f>IF(AND(B132&gt;0,C10="ja"),C132/B132,0)</f>
        <v>1</v>
      </c>
      <c r="D133" s="1384">
        <f t="shared" ref="D133:I133" si="16">IF(AND($B$132&gt;0,D11&gt;0,D10="ja"),D132/$B$132,0)</f>
        <v>0</v>
      </c>
      <c r="E133" s="1384">
        <f t="shared" si="16"/>
        <v>0</v>
      </c>
      <c r="F133" s="1384">
        <f t="shared" si="16"/>
        <v>0</v>
      </c>
      <c r="G133" s="1384">
        <f t="shared" si="16"/>
        <v>0</v>
      </c>
      <c r="H133" s="1384">
        <f t="shared" si="16"/>
        <v>0</v>
      </c>
      <c r="I133" s="1385">
        <f t="shared" si="16"/>
        <v>0</v>
      </c>
    </row>
    <row r="134" spans="1:11" ht="19.5" hidden="1" customHeight="1">
      <c r="A134" s="1386"/>
      <c r="B134" s="1335"/>
      <c r="C134" s="1384"/>
      <c r="D134" s="1384"/>
      <c r="E134" s="522">
        <f>IF(E129&lt;0,E129,0)</f>
        <v>0</v>
      </c>
      <c r="F134" s="522">
        <f>IF(F129&lt;0,F129,0)</f>
        <v>0</v>
      </c>
      <c r="G134" s="522">
        <f>IF(G129&lt;0,G129,0)</f>
        <v>0</v>
      </c>
      <c r="H134" s="522">
        <f>IF(H129&lt;0,H129,0)</f>
        <v>0</v>
      </c>
      <c r="I134" s="523">
        <f>IF(I129&lt;0,I129,0)</f>
        <v>0</v>
      </c>
    </row>
    <row r="135" spans="1:11" hidden="1">
      <c r="A135" s="1387"/>
      <c r="B135" s="1249"/>
      <c r="C135" s="637"/>
      <c r="D135" s="637"/>
      <c r="E135" s="637">
        <f>IF(E134&lt;-E62,-E62,E134)</f>
        <v>0</v>
      </c>
      <c r="F135" s="637">
        <f>IF(F134&lt;-F62,-F62,F134)</f>
        <v>0</v>
      </c>
      <c r="G135" s="637">
        <f>IF(G134&lt;-G62,-G62,G134)</f>
        <v>0</v>
      </c>
      <c r="H135" s="637">
        <f>IF(H134&lt;-H62,-H62,H134)</f>
        <v>0</v>
      </c>
      <c r="I135" s="638">
        <f>IF(I134&lt;-I62,-I62,I134)</f>
        <v>0</v>
      </c>
    </row>
    <row r="136" spans="1:11" ht="19.5" hidden="1" customHeight="1">
      <c r="A136" s="1387"/>
      <c r="B136" s="1249"/>
      <c r="C136" s="637"/>
      <c r="D136" s="637"/>
      <c r="E136" s="637">
        <f>-E135*1</f>
        <v>0</v>
      </c>
      <c r="F136" s="637">
        <f>-F135*1</f>
        <v>0</v>
      </c>
      <c r="G136" s="637">
        <f>-G135*1</f>
        <v>0</v>
      </c>
      <c r="H136" s="637">
        <f>-H135*1</f>
        <v>0</v>
      </c>
      <c r="I136" s="638">
        <f>-I135*1</f>
        <v>0</v>
      </c>
    </row>
    <row r="137" spans="1:11" ht="18" customHeight="1">
      <c r="A137" s="1388">
        <f>IF(C137&gt;0,"übertragbares Kindergeld",0)</f>
        <v>0</v>
      </c>
      <c r="B137" s="1389"/>
      <c r="C137" s="1390">
        <f>SUM(E136:I136)</f>
        <v>0</v>
      </c>
      <c r="D137" s="1391"/>
      <c r="E137" s="1391"/>
      <c r="F137" s="1391"/>
      <c r="G137" s="1391"/>
      <c r="H137" s="1391"/>
      <c r="I137" s="1392"/>
    </row>
    <row r="138" spans="1:11" ht="19.5" hidden="1" customHeight="1">
      <c r="A138" s="1388"/>
      <c r="B138" s="1380"/>
      <c r="C138" s="1390">
        <f>IF(AND(C122=0,C137&gt;0),30+Zusatzeingaben!C204+Zusatzeingaben!C205+Zusatzeingaben!C213,0)</f>
        <v>0</v>
      </c>
      <c r="D138" s="1390">
        <f>IF(AND(D122=0,D137&gt;0),30+Zusatzeingaben!D204+Zusatzeingaben!D205+Zusatzeingaben!D213,0)</f>
        <v>0</v>
      </c>
      <c r="E138" s="1390">
        <f>IF(AND(E122=0,E137&gt;0),30+Zusatzeingaben!E204+Zusatzeingaben!E205+Zusatzeingaben!E213,0)</f>
        <v>0</v>
      </c>
      <c r="F138" s="1390">
        <f>IF(AND(F122=0,F137&gt;0),30+Zusatzeingaben!F204+Zusatzeingaben!F205+Zusatzeingaben!F213,0)</f>
        <v>0</v>
      </c>
      <c r="G138" s="1390">
        <f>IF(AND(G122=0,G137&gt;0),30+Zusatzeingaben!G204+Zusatzeingaben!G205+Zusatzeingaben!G213,0)</f>
        <v>0</v>
      </c>
      <c r="H138" s="1390">
        <f>IF(AND(H122=0,H137&gt;0),30+Zusatzeingaben!H204+Zusatzeingaben!H205+Zusatzeingaben!H213,0)</f>
        <v>0</v>
      </c>
      <c r="I138" s="1390">
        <f>IF(AND(I122=0,I137&gt;0),30+Zusatzeingaben!I204+Zusatzeingaben!I205+Zusatzeingaben!I213,0)</f>
        <v>0</v>
      </c>
    </row>
    <row r="139" spans="1:11" ht="19.5" hidden="1" customHeight="1">
      <c r="A139" s="1388"/>
      <c r="B139" s="1380"/>
      <c r="C139" s="1390">
        <f>C137-C138</f>
        <v>0</v>
      </c>
      <c r="D139" s="1391"/>
      <c r="E139" s="1391"/>
      <c r="F139" s="1391"/>
      <c r="G139" s="1391"/>
      <c r="H139" s="1391"/>
      <c r="I139" s="1392"/>
    </row>
    <row r="140" spans="1:11" ht="19.5" hidden="1" customHeight="1">
      <c r="A140" s="1388"/>
      <c r="B140" s="1380"/>
      <c r="C140" s="1390">
        <f>IF(C139&lt;0,0,C139)</f>
        <v>0</v>
      </c>
      <c r="D140" s="1391"/>
      <c r="E140" s="1391"/>
      <c r="F140" s="1391"/>
      <c r="G140" s="1391"/>
      <c r="H140" s="1391"/>
      <c r="I140" s="1392"/>
    </row>
    <row r="141" spans="1:11" ht="17.25" customHeight="1">
      <c r="A141" s="1382" t="s">
        <v>175</v>
      </c>
      <c r="B141" s="1394">
        <f>C141+D141</f>
        <v>0</v>
      </c>
      <c r="C141" s="522">
        <f>C122+C140</f>
        <v>0</v>
      </c>
      <c r="D141" s="522">
        <f>D122</f>
        <v>0</v>
      </c>
      <c r="E141" s="1395"/>
      <c r="F141" s="1395"/>
      <c r="G141" s="1395"/>
      <c r="H141" s="1395"/>
      <c r="I141" s="1396"/>
    </row>
    <row r="142" spans="1:11" hidden="1">
      <c r="A142" s="1037"/>
      <c r="B142" s="981"/>
      <c r="C142" s="637">
        <f>C127-C141</f>
        <v>449</v>
      </c>
      <c r="D142" s="637">
        <f>D127-D141</f>
        <v>0</v>
      </c>
      <c r="E142" s="981"/>
      <c r="F142" s="981"/>
      <c r="G142" s="981"/>
      <c r="H142" s="981"/>
      <c r="I142" s="1397"/>
    </row>
    <row r="143" spans="1:11" hidden="1">
      <c r="A143" s="1037"/>
      <c r="B143" s="981"/>
      <c r="C143" s="637">
        <f>-1*C142</f>
        <v>-449</v>
      </c>
      <c r="D143" s="637">
        <f>-1*D142</f>
        <v>0</v>
      </c>
      <c r="E143" s="981"/>
      <c r="F143" s="981"/>
      <c r="G143" s="981"/>
      <c r="H143" s="981"/>
      <c r="I143" s="1397"/>
    </row>
    <row r="144" spans="1:11" hidden="1">
      <c r="A144" s="1037"/>
      <c r="B144" s="981"/>
      <c r="C144" s="637">
        <f>IF(C143&gt;0,C143,0)</f>
        <v>0</v>
      </c>
      <c r="D144" s="637">
        <f>IF(D143&gt;0,D143,0)</f>
        <v>0</v>
      </c>
      <c r="E144" s="637"/>
      <c r="F144" s="637"/>
      <c r="G144" s="637"/>
      <c r="H144" s="637"/>
      <c r="I144" s="638"/>
    </row>
    <row r="145" spans="1:64">
      <c r="A145" s="1382">
        <f>IF(B145&gt;0,"./. nicht verteilbares Einkommen",0)</f>
        <v>0</v>
      </c>
      <c r="B145" s="1335">
        <f>C145+D145</f>
        <v>0</v>
      </c>
      <c r="C145" s="522">
        <f>IF(AND($B$7&gt;2,D133&gt;0,C133=0,SUM(D131:$I$131)&lt;D141),C141,IF(OR(C10="nur Mehrbedarf",C10="nein"),C141-C146,0))</f>
        <v>0</v>
      </c>
      <c r="D145" s="522">
        <f>IF(AND($B$7&gt;2,C133&gt;0,D133=0,C131+SUM($E$131:$I$131)&lt;C141),D141,IF(OR(D10="nur Mehrbedarf",D10="nein"),D141-D146,0))</f>
        <v>0</v>
      </c>
      <c r="E145" s="522"/>
      <c r="F145" s="522"/>
      <c r="G145" s="522"/>
      <c r="H145" s="522"/>
      <c r="I145" s="523"/>
    </row>
    <row r="146" spans="1:64" ht="17.25" customHeight="1">
      <c r="A146" s="1342" t="s">
        <v>2229</v>
      </c>
      <c r="B146" s="1383">
        <f>C146+D146</f>
        <v>0</v>
      </c>
      <c r="C146" s="522">
        <f>IF(AND($B$7&gt;2,D133&gt;0,C133=0,SUM(D131:$I$131)&lt;D141),0,IF(AND(C10="nur Mehrbedarf",C141&lt;C131+C150),0,IF(AND(C10="nur Mehrbedarf",C144&gt;C150),C144-C150,IF(AND(C10="nein",C144&gt;0),C144,IF(AND(C10="nur Mehrbedarf",C144=0),0,IF(AND(C10="nein",C144=0),0,C141))))))</f>
        <v>0</v>
      </c>
      <c r="D146" s="522">
        <f>IF(AND($B$7&gt;2,C133&gt;0,D133=0,C131+SUM($E$131:$I$131)&lt;C141),0,IF(AND(D10="nur Mehrbedarf",D141&lt;D131+D150),0,IF(AND(D10="nur Mehrbedarf",D144&gt;D150),D144-D150,IF(AND(D10="nein",D144&gt;0),D144,IF(AND(D10="nur Mehrbedarf",D144=0),0,IF(AND(D10="nein",D144=0),0,D141))))))</f>
        <v>0</v>
      </c>
      <c r="E146" s="889"/>
      <c r="F146" s="889"/>
      <c r="G146" s="889"/>
      <c r="H146" s="889"/>
      <c r="I146" s="1398"/>
    </row>
    <row r="147" spans="1:64" ht="17.25" hidden="1" customHeight="1">
      <c r="A147" s="1399"/>
      <c r="B147" s="1361">
        <f>SUM(C147:I147)</f>
        <v>0</v>
      </c>
      <c r="C147" s="522">
        <f>IF(AND($B$133=0,D131=0),C146,IF(AND($B$133=0,D146&gt;0,C131&gt;0),D146,IF(AND($B$7&gt;2,C133=0,D133=0,D146+C145&lt;C131),D146,IF(AND($B$7&gt;2,C133=0,D133=0,D146+C145&gt;C131),C131+D131-B145,IF(AND($B$7=2,C133&gt;0,D10="nur Mehrbedarf",D150+D131&gt;D141,C141&gt;C131),C131,$B$146*C133)))))</f>
        <v>0</v>
      </c>
      <c r="D147" s="522">
        <f>IF(AND($B$133=0,C131=0),D146,IF(AND($B$133=0,C146&gt;0,D131&gt;0),C146,IF(AND($B$7&gt;2,D131&gt;0,D133=0,C133=0,C146+D145&lt;D131),C146,IF(AND(B7&gt;2,D131&gt;0,C133=0,D133=0,C146+D145&gt;D131),C131+D131-B145,IF(AND($B$7=2,C10="nur Mehrbedarf",D133&gt;0,C150+C131&gt;C141,D141&gt;D131),D131,$B$146*D133)))))</f>
        <v>0</v>
      </c>
      <c r="E147" s="522">
        <f>IF(AND($C$150&gt;0,$C$146=0,$B$146*E133&gt;E131,$D$146&lt;$D$131+SUM($E$131:$I$131)),E131,IF(AND($D$150&gt;0,$D$146=0,$B$146*E133&gt;E131,$C$146&lt;$C$131+SUM($E$131:$I$131)),E131,IF(AND($B$7&gt;2,$C$133=0,$D$133=0,$C$131+$D$131&gt;$B$141),0,IF(AND($B$7&gt;2,E131&gt;0,$C$133=0,$D$133=0,$C$131+$D$131&lt;$B$141),($B$141-($C$131+$D$131))*E133,$B$146*E133))))</f>
        <v>0</v>
      </c>
      <c r="F147" s="522">
        <f>IF(AND($C$150&gt;0,$C$146=0,$B$146*F133&gt;F131,$D$146&lt;$D$131+SUM($E$131:$I$131)),F131,IF(AND($D$150&gt;0,$D$146=0,$B$146*F133&gt;F131,$C$146&lt;$C$131+SUM($E$131:$I$131)),F131,IF(AND($B$7&gt;2,$C$133=0,$D$133=0,$C$131+$D$131&gt;$B$141),0,IF(AND($B$7&gt;2,F131&gt;0,$C$133=0,$D$133=0,$C$131+$D$131&lt;$B$141),($B$141-($C$131+$D$131))*F133,$B$146*F133))))</f>
        <v>0</v>
      </c>
      <c r="G147" s="522">
        <f>IF(AND($C$150&gt;0,$C$146=0,$B$146*G133&gt;G131,$D$146&lt;$D$131+SUM($E$131:$I$131)),G131,IF(AND($D$150&gt;0,$D$146=0,$B$146*G133&gt;G131,$C$146&lt;$C$131+SUM($E$131:$I$131)),G131,IF(AND($B$7&gt;2,$C$133=0,$D$133=0,$C$131+$D$131&gt;$B$141),0,IF(AND($B$7&gt;2,G131&gt;0,$C$133=0,$D$133=0,$C$131+$D$131&lt;$B$141),($B$141-($C$131+$D$131))*G133,$B$146*G133))))</f>
        <v>0</v>
      </c>
      <c r="H147" s="522">
        <f>IF(AND($C$150&gt;0,$C$146=0,$B$146*H133&gt;H131,$D$146&lt;$D$131+SUM($E$131:$I$131)),H131,IF(AND($D$150&gt;0,$D$146=0,$B$146*H133&gt;H131,$C$146&lt;$C$131+SUM($E$131:$I$131)),H131,IF(AND($B$7&gt;2,$C$133=0,$D$133=0,$C$131+$D$131&gt;$B$141),0,IF(AND($B$7&gt;2,H131&gt;0,$C$133=0,$D$133=0,$C$131+$D$131&lt;$B$141),($B$141-($C$131+$D$131))*H133,$B$146*H133))))</f>
        <v>0</v>
      </c>
      <c r="I147" s="522">
        <f>IF(AND($C$150&gt;0,$C$146=0,$B$146*I133&gt;I131,$D$146&lt;$D$131+SUM($E$131:$I$131)),I131,IF(AND($D$150&gt;0,$D$146=0,$B$146*I133&gt;I131,$C$146&lt;$C$131+SUM($E$131:$I$131)),I131,IF(AND($B$7&gt;2,$C$133=0,$D$133=0,$C$131+$D$131&gt;$B$141),0,IF(AND($B$7&gt;2,I131&gt;0,$C$133=0,$D$133=0,$C$131+$D$131&lt;$B$141),($B$141-($C$131+$D$131))*I133,$B$146*I133))))</f>
        <v>0</v>
      </c>
    </row>
    <row r="148" spans="1:64" ht="18.75" customHeight="1">
      <c r="A148" s="1376" t="s">
        <v>2230</v>
      </c>
      <c r="B148" s="1357">
        <f>SUM(C148:I148)</f>
        <v>0</v>
      </c>
      <c r="C148" s="1400">
        <f>IF(C147&lt;0,0,IF(AND(C150&gt;0,D146&gt;0,D146&lt;&gt;C147,C146&gt;0,C145&lt;C131+C150),C146+C147,IF(AND(D133&gt;0,C133=0,D146&gt;D147+E147+F147+G147+H147+I147),D146-D147-E147-F147-G147-H147-I147,IF(AND($B$7=2,$B$133=0,C146&gt;0,D146&gt;0),C146,IF(AND($B$7&gt;2,C133+D133=0,C146&gt;0,D146&gt;0),($B$146-E147-F147-G147-H147-I147)*C131/(C131+D131),C147)))))</f>
        <v>0</v>
      </c>
      <c r="D148" s="1400">
        <f>IF(D147&lt;0,0,IF(AND(D150&gt;0,C146&gt;0,C146&lt;&gt;D147,D146&gt;0,D145&lt;D131+D150),D146+D147,IF(AND(C133&gt;0,D133=0,C146&gt;C147+E147+F147+G147+H147+I147),C146-C147-E147-F147-G147-H147-I147,IF(AND($B$7=2,$B$133=0,C146&gt;0,D146&gt;0),D146,IF(AND($B$7&gt;2,C133+D133=0,C146&gt;0,D146&gt;0),($B$146-E147-F147-G147-H147-I147)*D131/(C131+D131),D147)))))</f>
        <v>0</v>
      </c>
      <c r="E148" s="1401">
        <f>IF(AND($C$147=0,$D$147=0,$B$147&lt;$B$146),$B$146*E133,E147)</f>
        <v>0</v>
      </c>
      <c r="F148" s="1401">
        <f>IF(AND($C$147=0,$D$147=0,$B$147&lt;$B$146),$B$146*F133,F147)</f>
        <v>0</v>
      </c>
      <c r="G148" s="1401">
        <f>IF(AND($C$147=0,$D$147=0,$B$147&lt;$B$146),$B$146*G133,G147)</f>
        <v>0</v>
      </c>
      <c r="H148" s="1401">
        <f>IF(AND($C$147=0,$D$147=0,$B$147&lt;$B$146),$B$146*H133,H147)</f>
        <v>0</v>
      </c>
      <c r="I148" s="1402">
        <f>IF(AND($C$147=0,$D$147=0,$B$147&lt;$B$146),$B$146*I133,I147)</f>
        <v>0</v>
      </c>
    </row>
    <row r="149" spans="1:64" ht="19.5" customHeight="1">
      <c r="A149" s="1403" t="s">
        <v>2172</v>
      </c>
      <c r="B149" s="1365">
        <f>SUM(C149:I149)</f>
        <v>449</v>
      </c>
      <c r="C149" s="1365">
        <f>C131-C145-C148</f>
        <v>449</v>
      </c>
      <c r="D149" s="1365">
        <f>D131-D145-D148</f>
        <v>0</v>
      </c>
      <c r="E149" s="1365">
        <f>E131-E148</f>
        <v>0</v>
      </c>
      <c r="F149" s="1365">
        <f>F131-F148</f>
        <v>0</v>
      </c>
      <c r="G149" s="1365">
        <f>G131-G148</f>
        <v>0</v>
      </c>
      <c r="H149" s="1365">
        <f>H131-H148</f>
        <v>0</v>
      </c>
      <c r="I149" s="1404">
        <f>I131-I148</f>
        <v>0</v>
      </c>
    </row>
    <row r="150" spans="1:64" ht="18" customHeight="1">
      <c r="A150" s="1405">
        <f>IF(B150&gt;0,"Mehrbedarf nach § 27 (2) SGB II",0)</f>
        <v>0</v>
      </c>
      <c r="B150" s="1406">
        <f>SUM(C150:I150)</f>
        <v>0</v>
      </c>
      <c r="C150" s="1016">
        <f>IF(C10="nur Mehrbedarf",Zusatzeingaben!C45+Zusatzeingaben!B46+Zusatzeingaben!C93+Zusatzeingaben!C94,0)</f>
        <v>0</v>
      </c>
      <c r="D150" s="1016">
        <f>IF(D10="nur Mehrbedarf",Zusatzeingaben!D45+Zusatzeingaben!D93+Zusatzeingaben!D94,0)</f>
        <v>0</v>
      </c>
      <c r="E150" s="522"/>
      <c r="F150" s="522"/>
      <c r="G150" s="522"/>
      <c r="H150" s="522"/>
      <c r="I150" s="523"/>
    </row>
    <row r="151" spans="1:64" ht="17.25" customHeight="1">
      <c r="A151" s="1407">
        <f>IF(B151&gt;0,"./. Überschuss",0)</f>
        <v>0</v>
      </c>
      <c r="B151" s="1383">
        <f>SUM(C151:I151)</f>
        <v>0</v>
      </c>
      <c r="C151" s="522">
        <f>IF(AND(C10="nur Mehrbedarf",$B$149&lt;0,D149&lt;0),$B$149*-1,IF(AND(C10="nur Mehrbedarf",$B$149&lt;0,$E$149&lt;0),$B$149*-1,IF(AND(C10="nur Mehrbedarf",D149&gt;=0,C149&lt;0),C149*-1,0)))</f>
        <v>0</v>
      </c>
      <c r="D151" s="522">
        <f>IF(AND(D10="nur Mehrbedarf",$B$149&lt;0,C149&lt;0),$B$149*-1,IF(AND(D10="nur Mehrbedarf",$B$149&lt;0,$E$149&lt;0),$B$149*-1,IF(AND(D10="nur Mehrbedarf",C149&gt;=0,D149&lt;0),D149*-1,0)))</f>
        <v>0</v>
      </c>
      <c r="E151" s="522"/>
      <c r="F151" s="522"/>
      <c r="G151" s="522"/>
      <c r="H151" s="522"/>
      <c r="I151" s="523"/>
    </row>
    <row r="152" spans="1:64" ht="17.25" hidden="1" customHeight="1">
      <c r="A152" s="1408"/>
      <c r="B152" s="1409"/>
      <c r="C152" s="1410">
        <f t="shared" ref="C152:I152" si="17">C149-C157</f>
        <v>449</v>
      </c>
      <c r="D152" s="1410">
        <f t="shared" si="17"/>
        <v>0</v>
      </c>
      <c r="E152" s="1410">
        <f t="shared" si="17"/>
        <v>0</v>
      </c>
      <c r="F152" s="1410">
        <f t="shared" si="17"/>
        <v>0</v>
      </c>
      <c r="G152" s="1410">
        <f t="shared" si="17"/>
        <v>0</v>
      </c>
      <c r="H152" s="1410">
        <f t="shared" si="17"/>
        <v>0</v>
      </c>
      <c r="I152" s="1411">
        <f t="shared" si="17"/>
        <v>0</v>
      </c>
    </row>
    <row r="153" spans="1:64" ht="17.25" hidden="1" customHeight="1">
      <c r="A153" s="839"/>
      <c r="B153" s="522"/>
      <c r="C153" s="1410">
        <f>IF(Zusatzeingaben!C221="einmal",C11*0.1,IF(Zusatzeingaben!C221="zweimal",C11*0.2,IF(Zusatzeingaben!C221="dreimal",C11*0.3,0)))</f>
        <v>0</v>
      </c>
      <c r="D153" s="1410">
        <f>IF(Zusatzeingaben!D221="einmal",D11*0.1,IF(Zusatzeingaben!D221="zweimal",D11*0.2,IF(Zusatzeingaben!D221="dreimal",D11*0.3,0)))</f>
        <v>0</v>
      </c>
      <c r="E153" s="1410">
        <f>IF(Zusatzeingaben!E221="einmal",E11*0.1,IF(Zusatzeingaben!E221="zweimal",E11*0.2,IF(Zusatzeingaben!E221="dreimal",E11*0.3,0)))</f>
        <v>0</v>
      </c>
      <c r="F153" s="1410">
        <f>IF(Zusatzeingaben!F221="einmal",F11*0.1,IF(Zusatzeingaben!F221="zweimal",F11*0.2,IF(Zusatzeingaben!F221="dreimal",F11*0.3,0)))</f>
        <v>0</v>
      </c>
      <c r="G153" s="1410">
        <f>IF(Zusatzeingaben!G221="einmal",G11*0.1,IF(Zusatzeingaben!G221="zweimal",G11*0.2,IF(Zusatzeingaben!G221="dreimal",G11*0.3,0)))</f>
        <v>0</v>
      </c>
      <c r="H153" s="1410">
        <f>IF(Zusatzeingaben!H221="einmal",H11*0.1,IF(Zusatzeingaben!H221="zweimal",H11*0.2,IF(Zusatzeingaben!H221="dreimal",H11*0.3,0)))</f>
        <v>0</v>
      </c>
      <c r="I153" s="1411">
        <f>IF(Zusatzeingaben!I221="einmal",I11*0.1,IF(Zusatzeingaben!I221="zweimal",I11*0.2,IF(Zusatzeingaben!I221="dreimal",I11*0.3,0)))</f>
        <v>0</v>
      </c>
    </row>
    <row r="154" spans="1:64" ht="17.25" hidden="1" customHeight="1">
      <c r="A154" s="1408"/>
      <c r="B154" s="522"/>
      <c r="C154" s="522">
        <f t="shared" ref="C154:I154" si="18">IF(C152&gt;C149,C149,C152)</f>
        <v>449</v>
      </c>
      <c r="D154" s="522">
        <f t="shared" si="18"/>
        <v>0</v>
      </c>
      <c r="E154" s="522">
        <f t="shared" si="18"/>
        <v>0</v>
      </c>
      <c r="F154" s="522">
        <f t="shared" si="18"/>
        <v>0</v>
      </c>
      <c r="G154" s="522">
        <f t="shared" si="18"/>
        <v>0</v>
      </c>
      <c r="H154" s="522">
        <f t="shared" si="18"/>
        <v>0</v>
      </c>
      <c r="I154" s="523">
        <f t="shared" si="18"/>
        <v>0</v>
      </c>
    </row>
    <row r="155" spans="1:64" ht="17.25" customHeight="1">
      <c r="A155" s="1407">
        <f>IF(B155&gt;0,"./. Minderung Meldeversäumnis",0)</f>
        <v>0</v>
      </c>
      <c r="B155" s="1335">
        <f>SUM(C155:I155)</f>
        <v>0</v>
      </c>
      <c r="C155" s="522">
        <f t="shared" ref="C155:I155" si="19">IF(OR(C149&lt;0,C153=0),0,MIN(C154,C153))</f>
        <v>0</v>
      </c>
      <c r="D155" s="522">
        <f t="shared" si="19"/>
        <v>0</v>
      </c>
      <c r="E155" s="522">
        <f t="shared" si="19"/>
        <v>0</v>
      </c>
      <c r="F155" s="522">
        <f t="shared" si="19"/>
        <v>0</v>
      </c>
      <c r="G155" s="522">
        <f t="shared" si="19"/>
        <v>0</v>
      </c>
      <c r="H155" s="522">
        <f t="shared" si="19"/>
        <v>0</v>
      </c>
      <c r="I155" s="523">
        <f t="shared" si="19"/>
        <v>0</v>
      </c>
    </row>
    <row r="156" spans="1:64" ht="17.25" hidden="1" customHeight="1">
      <c r="A156" s="1341"/>
      <c r="B156" s="1412"/>
      <c r="C156" s="634">
        <f>Zusatzeingaben!C225</f>
        <v>0</v>
      </c>
      <c r="D156" s="634">
        <f>Zusatzeingaben!D225</f>
        <v>0</v>
      </c>
      <c r="E156" s="634">
        <f>Zusatzeingaben!E225</f>
        <v>0</v>
      </c>
      <c r="F156" s="634">
        <f>Zusatzeingaben!F225</f>
        <v>0</v>
      </c>
      <c r="G156" s="634">
        <f>Zusatzeingaben!G225</f>
        <v>0</v>
      </c>
      <c r="H156" s="634">
        <f>Zusatzeingaben!H225</f>
        <v>0</v>
      </c>
      <c r="I156" s="635">
        <f>Zusatzeingaben!I225</f>
        <v>0</v>
      </c>
    </row>
    <row r="157" spans="1:64" ht="17.25" hidden="1" customHeight="1">
      <c r="A157" s="976"/>
      <c r="B157" s="1413"/>
      <c r="C157" s="1410">
        <f t="shared" ref="C157:I157" si="20">IF(C156&gt;C149,C149,C156)</f>
        <v>0</v>
      </c>
      <c r="D157" s="1410">
        <f t="shared" si="20"/>
        <v>0</v>
      </c>
      <c r="E157" s="1410">
        <f t="shared" si="20"/>
        <v>0</v>
      </c>
      <c r="F157" s="1410">
        <f t="shared" si="20"/>
        <v>0</v>
      </c>
      <c r="G157" s="1410">
        <f t="shared" si="20"/>
        <v>0</v>
      </c>
      <c r="H157" s="1410">
        <f t="shared" si="20"/>
        <v>0</v>
      </c>
      <c r="I157" s="1411">
        <f t="shared" si="20"/>
        <v>0</v>
      </c>
    </row>
    <row r="158" spans="1:64" ht="18" customHeight="1">
      <c r="A158" s="1414">
        <f>IF(B158&gt;0,"./. Minderung Pflichtverletzung",0)</f>
        <v>0</v>
      </c>
      <c r="B158" s="1415">
        <f>SUM(C158:I158)</f>
        <v>0</v>
      </c>
      <c r="C158" s="1416">
        <f t="shared" ref="C158:I158" si="21">IF(C157&lt;0,0,C157)</f>
        <v>0</v>
      </c>
      <c r="D158" s="1024">
        <f t="shared" si="21"/>
        <v>0</v>
      </c>
      <c r="E158" s="1024">
        <f t="shared" si="21"/>
        <v>0</v>
      </c>
      <c r="F158" s="1024">
        <f t="shared" si="21"/>
        <v>0</v>
      </c>
      <c r="G158" s="1024">
        <f t="shared" si="21"/>
        <v>0</v>
      </c>
      <c r="H158" s="1024">
        <f t="shared" si="21"/>
        <v>0</v>
      </c>
      <c r="I158" s="1025">
        <f t="shared" si="21"/>
        <v>0</v>
      </c>
    </row>
    <row r="159" spans="1:64" ht="16.5" hidden="1" customHeight="1">
      <c r="A159" s="1417"/>
      <c r="B159" s="1418"/>
      <c r="C159" s="1419">
        <f>IF(C10="nur Mehrbedarf",C150-C151,0)</f>
        <v>0</v>
      </c>
      <c r="D159" s="1419">
        <f>IF(D10="nur Mehrbedarf",D150-D151,0)</f>
        <v>0</v>
      </c>
      <c r="E159" s="1419"/>
      <c r="F159" s="1419"/>
      <c r="G159" s="1419"/>
      <c r="H159" s="1419"/>
      <c r="I159" s="1420"/>
      <c r="J159" s="1080"/>
      <c r="K159" s="1207"/>
      <c r="L159" s="1207"/>
      <c r="M159" s="1080"/>
      <c r="N159" s="1080"/>
      <c r="O159" s="1080"/>
      <c r="P159" s="1080"/>
      <c r="Q159" s="1080"/>
      <c r="R159" s="1080"/>
      <c r="S159" s="1080"/>
      <c r="T159" s="1080"/>
      <c r="U159" s="1080"/>
      <c r="V159" s="1080"/>
      <c r="W159" s="1080"/>
      <c r="X159" s="1080"/>
      <c r="Y159" s="1080"/>
      <c r="Z159" s="1080"/>
      <c r="AA159" s="1080"/>
      <c r="AB159" s="1080"/>
      <c r="AC159" s="1080"/>
      <c r="AD159" s="1080"/>
      <c r="AE159" s="1080"/>
      <c r="AF159" s="1080"/>
      <c r="AG159" s="1080"/>
      <c r="AH159" s="1080"/>
      <c r="AI159" s="1080"/>
      <c r="AJ159" s="1080"/>
      <c r="AK159" s="1080"/>
      <c r="AL159" s="1080"/>
      <c r="AM159" s="1080"/>
      <c r="AN159" s="1080"/>
      <c r="AO159" s="1080"/>
      <c r="AP159" s="1080"/>
      <c r="AQ159" s="1080"/>
      <c r="AR159" s="1080"/>
      <c r="AS159" s="1080"/>
      <c r="AT159" s="1080"/>
      <c r="AU159" s="1080"/>
      <c r="AV159" s="1080"/>
      <c r="AW159" s="1080"/>
      <c r="AX159" s="1080"/>
      <c r="AY159" s="1080"/>
      <c r="AZ159" s="1080"/>
      <c r="BA159" s="1080"/>
      <c r="BB159" s="1080"/>
      <c r="BC159" s="1080"/>
      <c r="BD159" s="1080"/>
      <c r="BE159" s="1080"/>
      <c r="BF159" s="1080"/>
      <c r="BG159" s="1080"/>
      <c r="BH159" s="1080"/>
      <c r="BI159" s="1080"/>
      <c r="BJ159" s="1080"/>
      <c r="BK159" s="1080"/>
      <c r="BL159" s="1080"/>
    </row>
    <row r="160" spans="1:64" ht="17.25" hidden="1" customHeight="1">
      <c r="A160" s="1421"/>
      <c r="B160" s="1413">
        <f>SUM(C160:I160)</f>
        <v>449</v>
      </c>
      <c r="C160" s="1413">
        <f t="shared" ref="C160:I160" si="22">IF(C10="nur Mehrbedarf",C159,C149-C155-C158)</f>
        <v>449</v>
      </c>
      <c r="D160" s="1413">
        <f t="shared" si="22"/>
        <v>0</v>
      </c>
      <c r="E160" s="1413">
        <f t="shared" si="22"/>
        <v>0</v>
      </c>
      <c r="F160" s="1413">
        <f t="shared" si="22"/>
        <v>0</v>
      </c>
      <c r="G160" s="1413">
        <f t="shared" si="22"/>
        <v>0</v>
      </c>
      <c r="H160" s="1413">
        <f t="shared" si="22"/>
        <v>0</v>
      </c>
      <c r="I160" s="1413">
        <f t="shared" si="22"/>
        <v>0</v>
      </c>
    </row>
    <row r="161" spans="1:9" ht="24" customHeight="1">
      <c r="A161" s="1423" t="s">
        <v>2173</v>
      </c>
      <c r="B161" s="1424">
        <f>SUM(C161:I161)</f>
        <v>449</v>
      </c>
      <c r="C161" s="1424">
        <f t="shared" ref="C161:I161" si="23">IF(C10="nein",0,IF(C160&lt;0,0,C160))</f>
        <v>449</v>
      </c>
      <c r="D161" s="1424">
        <f t="shared" si="23"/>
        <v>0</v>
      </c>
      <c r="E161" s="1424">
        <f t="shared" si="23"/>
        <v>0</v>
      </c>
      <c r="F161" s="1424">
        <f t="shared" si="23"/>
        <v>0</v>
      </c>
      <c r="G161" s="1424">
        <f t="shared" si="23"/>
        <v>0</v>
      </c>
      <c r="H161" s="1424">
        <f t="shared" si="23"/>
        <v>0</v>
      </c>
      <c r="I161" s="1425">
        <f t="shared" si="23"/>
        <v>0</v>
      </c>
    </row>
    <row r="162" spans="1:9" ht="15.75" customHeight="1">
      <c r="A162" s="1274"/>
    </row>
    <row r="163" spans="1:9" ht="14.25" hidden="1" customHeight="1"/>
    <row r="164" spans="1:9" ht="20.25">
      <c r="A164" s="1217"/>
      <c r="B164" s="1218"/>
      <c r="C164" s="1611">
        <f t="shared" ref="C164:I164" si="24">C149-C47</f>
        <v>449</v>
      </c>
      <c r="D164" s="1611">
        <f t="shared" si="24"/>
        <v>0</v>
      </c>
      <c r="E164" s="1611">
        <f t="shared" si="24"/>
        <v>0</v>
      </c>
      <c r="F164" s="1611">
        <f t="shared" si="24"/>
        <v>0</v>
      </c>
      <c r="G164" s="1611">
        <f t="shared" si="24"/>
        <v>0</v>
      </c>
      <c r="H164" s="1611">
        <f t="shared" si="24"/>
        <v>0</v>
      </c>
      <c r="I164" s="1611">
        <f t="shared" si="24"/>
        <v>0</v>
      </c>
    </row>
    <row r="165" spans="1:9" ht="21" customHeight="1">
      <c r="A165" s="1220"/>
      <c r="B165" s="1221"/>
      <c r="C165" s="1221"/>
      <c r="D165" s="1221"/>
      <c r="E165" s="1221"/>
      <c r="F165" s="1221"/>
      <c r="G165" s="1221"/>
      <c r="H165" s="1221"/>
      <c r="I165" s="1221"/>
    </row>
    <row r="166" spans="1:9" ht="21" customHeight="1">
      <c r="A166" s="1545" t="s">
        <v>2174</v>
      </c>
      <c r="B166" s="1317"/>
      <c r="C166" s="1546"/>
      <c r="D166" s="1546"/>
      <c r="E166" s="1546"/>
      <c r="F166" s="1546"/>
      <c r="G166" s="1546"/>
      <c r="H166" s="1546"/>
      <c r="I166" s="1547"/>
    </row>
    <row r="167" spans="1:9" ht="18.75" customHeight="1">
      <c r="A167" s="839"/>
      <c r="B167" s="1322" t="s">
        <v>246</v>
      </c>
      <c r="C167" s="1322" t="str">
        <f>Zusatzeingaben!C4</f>
        <v>Antragsteller</v>
      </c>
      <c r="D167" s="1322" t="str">
        <f>Zusatzeingaben!D4</f>
        <v>Partner(in)</v>
      </c>
      <c r="E167" s="1322" t="str">
        <f>Zusatzeingaben!E4</f>
        <v>Kind 1</v>
      </c>
      <c r="F167" s="1322" t="str">
        <f>Zusatzeingaben!F4</f>
        <v>Kind 2</v>
      </c>
      <c r="G167" s="1322" t="str">
        <f>Zusatzeingaben!G4</f>
        <v>Kind 3</v>
      </c>
      <c r="H167" s="1322" t="str">
        <f>Zusatzeingaben!H4</f>
        <v>Kind 4</v>
      </c>
      <c r="I167" s="1323" t="str">
        <f>Zusatzeingaben!I4</f>
        <v>Kind 5</v>
      </c>
    </row>
    <row r="168" spans="1:9" ht="18.75" hidden="1" customHeight="1">
      <c r="A168" s="839"/>
      <c r="B168" s="1222"/>
      <c r="C168" s="1223">
        <f t="shared" ref="C168:I168" si="25">IF(C10="ja",C11+C13+C14+C15+C16+C17+C18+C19,0)</f>
        <v>449</v>
      </c>
      <c r="D168" s="1223">
        <f t="shared" si="25"/>
        <v>0</v>
      </c>
      <c r="E168" s="1223">
        <f t="shared" si="25"/>
        <v>0</v>
      </c>
      <c r="F168" s="1223">
        <f t="shared" si="25"/>
        <v>0</v>
      </c>
      <c r="G168" s="1223">
        <f t="shared" si="25"/>
        <v>0</v>
      </c>
      <c r="H168" s="1223">
        <f t="shared" si="25"/>
        <v>0</v>
      </c>
      <c r="I168" s="1224">
        <f t="shared" si="25"/>
        <v>0</v>
      </c>
    </row>
    <row r="169" spans="1:9" ht="18.75" customHeight="1">
      <c r="A169" s="839" t="s">
        <v>2175</v>
      </c>
      <c r="B169" s="1335">
        <f>SUM(C169:I169)</f>
        <v>449</v>
      </c>
      <c r="C169" s="1016">
        <f t="shared" ref="C169:I169" si="26">IF(C10="ja",C11+C13+C14+C15+C16+C17+C18+C19+C49,IF(C10="nur Mehrbedarf",C161,0))</f>
        <v>449</v>
      </c>
      <c r="D169" s="1016">
        <f t="shared" si="26"/>
        <v>0</v>
      </c>
      <c r="E169" s="1016">
        <f t="shared" si="26"/>
        <v>0</v>
      </c>
      <c r="F169" s="1016">
        <f t="shared" si="26"/>
        <v>0</v>
      </c>
      <c r="G169" s="1016">
        <f t="shared" si="26"/>
        <v>0</v>
      </c>
      <c r="H169" s="1016">
        <f t="shared" si="26"/>
        <v>0</v>
      </c>
      <c r="I169" s="1017">
        <f t="shared" si="26"/>
        <v>0</v>
      </c>
    </row>
    <row r="170" spans="1:9" ht="18.75" customHeight="1">
      <c r="A170" s="1225" t="s">
        <v>2176</v>
      </c>
      <c r="B170" s="1335">
        <f>SUM(C170:I170)</f>
        <v>0</v>
      </c>
      <c r="C170" s="1016">
        <f t="shared" ref="C170:I170" si="27">C158</f>
        <v>0</v>
      </c>
      <c r="D170" s="1016">
        <f t="shared" si="27"/>
        <v>0</v>
      </c>
      <c r="E170" s="1016">
        <f t="shared" si="27"/>
        <v>0</v>
      </c>
      <c r="F170" s="1016">
        <f t="shared" si="27"/>
        <v>0</v>
      </c>
      <c r="G170" s="1016">
        <f t="shared" si="27"/>
        <v>0</v>
      </c>
      <c r="H170" s="1016">
        <f t="shared" si="27"/>
        <v>0</v>
      </c>
      <c r="I170" s="1017">
        <f t="shared" si="27"/>
        <v>0</v>
      </c>
    </row>
    <row r="171" spans="1:9" ht="19.5" customHeight="1">
      <c r="A171" s="1226" t="s">
        <v>2177</v>
      </c>
      <c r="B171" s="1357">
        <f>SUM(C171:I171)</f>
        <v>0</v>
      </c>
      <c r="C171" s="1227">
        <f>IF(C169=0,0,C148)</f>
        <v>0</v>
      </c>
      <c r="D171" s="1227">
        <f>IF(D169=0,0,D148)</f>
        <v>0</v>
      </c>
      <c r="E171" s="1227">
        <f>IF(E169=0,0,E128+E148)</f>
        <v>0</v>
      </c>
      <c r="F171" s="1227">
        <f>IF(F169=0,0,F128+F148)</f>
        <v>0</v>
      </c>
      <c r="G171" s="1227">
        <f>IF(G169=0,0,G128+G148)</f>
        <v>0</v>
      </c>
      <c r="H171" s="1227">
        <f>IF(H169=0,0,H128+H148)</f>
        <v>0</v>
      </c>
      <c r="I171" s="1228">
        <f>IF(I169=0,0,I128+I148)</f>
        <v>0</v>
      </c>
    </row>
    <row r="172" spans="1:9" ht="21" hidden="1" customHeight="1">
      <c r="A172" s="833"/>
      <c r="B172" s="637"/>
      <c r="C172" s="1229">
        <f t="shared" ref="C172:I172" si="28">IF(C168=0,0,C148)</f>
        <v>0</v>
      </c>
      <c r="D172" s="1229">
        <f t="shared" si="28"/>
        <v>0</v>
      </c>
      <c r="E172" s="1229">
        <f t="shared" si="28"/>
        <v>0</v>
      </c>
      <c r="F172" s="1229">
        <f t="shared" si="28"/>
        <v>0</v>
      </c>
      <c r="G172" s="1229">
        <f t="shared" si="28"/>
        <v>0</v>
      </c>
      <c r="H172" s="1229">
        <f t="shared" si="28"/>
        <v>0</v>
      </c>
      <c r="I172" s="1230">
        <f t="shared" si="28"/>
        <v>0</v>
      </c>
    </row>
    <row r="173" spans="1:9" ht="21" hidden="1" customHeight="1">
      <c r="A173" s="833"/>
      <c r="B173" s="637"/>
      <c r="C173" s="637">
        <f t="shared" ref="C173:I173" si="29">C169-C170-C171</f>
        <v>449</v>
      </c>
      <c r="D173" s="637">
        <f t="shared" si="29"/>
        <v>0</v>
      </c>
      <c r="E173" s="637">
        <f t="shared" si="29"/>
        <v>0</v>
      </c>
      <c r="F173" s="637">
        <f t="shared" si="29"/>
        <v>0</v>
      </c>
      <c r="G173" s="637">
        <f t="shared" si="29"/>
        <v>0</v>
      </c>
      <c r="H173" s="637">
        <f t="shared" si="29"/>
        <v>0</v>
      </c>
      <c r="I173" s="638">
        <f t="shared" si="29"/>
        <v>0</v>
      </c>
    </row>
    <row r="174" spans="1:9" ht="21" hidden="1" customHeight="1">
      <c r="A174" s="833"/>
      <c r="B174" s="637"/>
      <c r="C174" s="1231">
        <f>C168-C172</f>
        <v>449</v>
      </c>
      <c r="D174" s="1231">
        <f t="shared" ref="D174:I174" si="30">D168-D171</f>
        <v>0</v>
      </c>
      <c r="E174" s="1231">
        <f t="shared" si="30"/>
        <v>0</v>
      </c>
      <c r="F174" s="1231">
        <f t="shared" si="30"/>
        <v>0</v>
      </c>
      <c r="G174" s="1231">
        <f t="shared" si="30"/>
        <v>0</v>
      </c>
      <c r="H174" s="1231">
        <f t="shared" si="30"/>
        <v>0</v>
      </c>
      <c r="I174" s="1232">
        <f t="shared" si="30"/>
        <v>0</v>
      </c>
    </row>
    <row r="175" spans="1:9" ht="21" customHeight="1">
      <c r="A175" s="1233" t="s">
        <v>2178</v>
      </c>
      <c r="B175" s="1234">
        <f>SUM(C175:I175)</f>
        <v>449</v>
      </c>
      <c r="C175" s="1234">
        <f t="shared" ref="C175:I176" si="31">IF(C173&lt;0,0,C173)</f>
        <v>449</v>
      </c>
      <c r="D175" s="1234">
        <f t="shared" si="31"/>
        <v>0</v>
      </c>
      <c r="E175" s="1234">
        <f t="shared" si="31"/>
        <v>0</v>
      </c>
      <c r="F175" s="1234">
        <f t="shared" si="31"/>
        <v>0</v>
      </c>
      <c r="G175" s="1234">
        <f t="shared" si="31"/>
        <v>0</v>
      </c>
      <c r="H175" s="1234">
        <f t="shared" si="31"/>
        <v>0</v>
      </c>
      <c r="I175" s="1235">
        <f t="shared" si="31"/>
        <v>0</v>
      </c>
    </row>
    <row r="176" spans="1:9" ht="21" hidden="1" customHeight="1">
      <c r="A176" s="1236"/>
      <c r="B176" s="1221"/>
      <c r="C176" s="1237">
        <f t="shared" si="31"/>
        <v>449</v>
      </c>
      <c r="D176" s="1237">
        <f t="shared" si="31"/>
        <v>0</v>
      </c>
      <c r="E176" s="1237">
        <f t="shared" si="31"/>
        <v>0</v>
      </c>
      <c r="F176" s="1237">
        <f t="shared" si="31"/>
        <v>0</v>
      </c>
      <c r="G176" s="1237">
        <f t="shared" si="31"/>
        <v>0</v>
      </c>
      <c r="H176" s="1237">
        <f t="shared" si="31"/>
        <v>0</v>
      </c>
      <c r="I176" s="1238">
        <f t="shared" si="31"/>
        <v>0</v>
      </c>
    </row>
    <row r="177" spans="1:9" ht="21" customHeight="1">
      <c r="A177" s="1239" t="s">
        <v>2179</v>
      </c>
      <c r="B177" s="1548"/>
      <c r="C177" s="1241">
        <f t="shared" ref="C177:I178" si="32">IF(C173&lt;0,C173,0)*-1</f>
        <v>0</v>
      </c>
      <c r="D177" s="1241">
        <f t="shared" si="32"/>
        <v>0</v>
      </c>
      <c r="E177" s="1241">
        <f t="shared" si="32"/>
        <v>0</v>
      </c>
      <c r="F177" s="1241">
        <f t="shared" si="32"/>
        <v>0</v>
      </c>
      <c r="G177" s="1241">
        <f t="shared" si="32"/>
        <v>0</v>
      </c>
      <c r="H177" s="1241">
        <f t="shared" si="32"/>
        <v>0</v>
      </c>
      <c r="I177" s="1242">
        <f t="shared" si="32"/>
        <v>0</v>
      </c>
    </row>
    <row r="178" spans="1:9" ht="21" hidden="1" customHeight="1">
      <c r="A178" s="833"/>
      <c r="B178" s="1249"/>
      <c r="C178" s="1244">
        <f t="shared" si="32"/>
        <v>0</v>
      </c>
      <c r="D178" s="1244">
        <f t="shared" si="32"/>
        <v>0</v>
      </c>
      <c r="E178" s="1244">
        <f t="shared" si="32"/>
        <v>0</v>
      </c>
      <c r="F178" s="1244">
        <f t="shared" si="32"/>
        <v>0</v>
      </c>
      <c r="G178" s="1244">
        <f t="shared" si="32"/>
        <v>0</v>
      </c>
      <c r="H178" s="1244">
        <f t="shared" si="32"/>
        <v>0</v>
      </c>
      <c r="I178" s="1245">
        <f t="shared" si="32"/>
        <v>0</v>
      </c>
    </row>
    <row r="179" spans="1:9" ht="21" customHeight="1">
      <c r="A179" s="1246" t="s">
        <v>2180</v>
      </c>
      <c r="B179" s="1365">
        <f>SUM(C179:I179)</f>
        <v>0</v>
      </c>
      <c r="C179" s="1008">
        <f t="shared" ref="C179:I179" si="33">IF(C10="ja",C47,0)</f>
        <v>0</v>
      </c>
      <c r="D179" s="1008">
        <f t="shared" si="33"/>
        <v>0</v>
      </c>
      <c r="E179" s="1008">
        <f t="shared" si="33"/>
        <v>0</v>
      </c>
      <c r="F179" s="1008">
        <f t="shared" si="33"/>
        <v>0</v>
      </c>
      <c r="G179" s="1008">
        <f t="shared" si="33"/>
        <v>0</v>
      </c>
      <c r="H179" s="1008">
        <f t="shared" si="33"/>
        <v>0</v>
      </c>
      <c r="I179" s="1009">
        <f t="shared" si="33"/>
        <v>0</v>
      </c>
    </row>
    <row r="180" spans="1:9" ht="21" customHeight="1">
      <c r="A180" s="1226" t="s">
        <v>2181</v>
      </c>
      <c r="B180" s="1549">
        <f>SUM(C180:I180)</f>
        <v>0</v>
      </c>
      <c r="C180" s="1227">
        <f t="shared" ref="C180:I180" si="34">IF(C179&lt;C177,C179,C177)</f>
        <v>0</v>
      </c>
      <c r="D180" s="1227">
        <f t="shared" si="34"/>
        <v>0</v>
      </c>
      <c r="E180" s="1227">
        <f t="shared" si="34"/>
        <v>0</v>
      </c>
      <c r="F180" s="1227">
        <f t="shared" si="34"/>
        <v>0</v>
      </c>
      <c r="G180" s="1227">
        <f t="shared" si="34"/>
        <v>0</v>
      </c>
      <c r="H180" s="1227">
        <f t="shared" si="34"/>
        <v>0</v>
      </c>
      <c r="I180" s="1228">
        <f t="shared" si="34"/>
        <v>0</v>
      </c>
    </row>
    <row r="181" spans="1:9" ht="21" hidden="1" customHeight="1">
      <c r="A181" s="1248"/>
      <c r="B181" s="1249"/>
      <c r="C181" s="1250">
        <f t="shared" ref="C181:I181" si="35">IF(C179&lt;C178,C179,C178)</f>
        <v>0</v>
      </c>
      <c r="D181" s="1250">
        <f t="shared" si="35"/>
        <v>0</v>
      </c>
      <c r="E181" s="1250">
        <f t="shared" si="35"/>
        <v>0</v>
      </c>
      <c r="F181" s="1250">
        <f t="shared" si="35"/>
        <v>0</v>
      </c>
      <c r="G181" s="1250">
        <f t="shared" si="35"/>
        <v>0</v>
      </c>
      <c r="H181" s="1250">
        <f t="shared" si="35"/>
        <v>0</v>
      </c>
      <c r="I181" s="1251">
        <f t="shared" si="35"/>
        <v>0</v>
      </c>
    </row>
    <row r="182" spans="1:9" ht="21" hidden="1" customHeight="1">
      <c r="A182" s="1248"/>
      <c r="B182" s="1249"/>
      <c r="C182" s="1252">
        <f t="shared" ref="C182:I182" si="36">C179-C181</f>
        <v>0</v>
      </c>
      <c r="D182" s="1252">
        <f t="shared" si="36"/>
        <v>0</v>
      </c>
      <c r="E182" s="1252">
        <f t="shared" si="36"/>
        <v>0</v>
      </c>
      <c r="F182" s="1252">
        <f t="shared" si="36"/>
        <v>0</v>
      </c>
      <c r="G182" s="1252">
        <f t="shared" si="36"/>
        <v>0</v>
      </c>
      <c r="H182" s="1252">
        <f t="shared" si="36"/>
        <v>0</v>
      </c>
      <c r="I182" s="1253">
        <f t="shared" si="36"/>
        <v>0</v>
      </c>
    </row>
    <row r="183" spans="1:9" ht="21" customHeight="1">
      <c r="A183" s="1254" t="s">
        <v>2182</v>
      </c>
      <c r="B183" s="1255">
        <f>SUM(C183:I183)</f>
        <v>0</v>
      </c>
      <c r="C183" s="1256">
        <f t="shared" ref="C183:I183" si="37">IF(C180&lt;0,C179,C179-C180)</f>
        <v>0</v>
      </c>
      <c r="D183" s="1256">
        <f t="shared" si="37"/>
        <v>0</v>
      </c>
      <c r="E183" s="1256">
        <f t="shared" si="37"/>
        <v>0</v>
      </c>
      <c r="F183" s="1256">
        <f t="shared" si="37"/>
        <v>0</v>
      </c>
      <c r="G183" s="1256">
        <f t="shared" si="37"/>
        <v>0</v>
      </c>
      <c r="H183" s="1256">
        <f t="shared" si="37"/>
        <v>0</v>
      </c>
      <c r="I183" s="1257">
        <f t="shared" si="37"/>
        <v>0</v>
      </c>
    </row>
    <row r="184" spans="1:9" ht="18" customHeight="1">
      <c r="A184" s="1220"/>
      <c r="B184" s="1221"/>
      <c r="C184" s="1221"/>
      <c r="D184" s="1221"/>
      <c r="E184" s="1221"/>
      <c r="F184" s="1221"/>
      <c r="G184" s="1221"/>
      <c r="H184" s="1221"/>
      <c r="I184" s="1221"/>
    </row>
    <row r="186" spans="1:9" ht="18.75" customHeight="1"/>
    <row r="187" spans="1:9">
      <c r="A187" s="1258" t="s">
        <v>2183</v>
      </c>
      <c r="B187" s="1259"/>
      <c r="C187" s="981"/>
      <c r="D187" s="981"/>
      <c r="F187" s="1260"/>
      <c r="G187" s="818"/>
      <c r="H187" s="818"/>
      <c r="I187" s="818"/>
    </row>
    <row r="188" spans="1:9">
      <c r="A188" s="981" t="s">
        <v>2184</v>
      </c>
      <c r="B188" s="1261">
        <f>IF(AND(C$58=0,C$54&lt;=100),0,IF(AND(C$58=0,C$54&lt;=1000),C$54-100,IF(AND(C$58=0,C$54&gt;1000),1000-100,IF(AND(C$58&gt;0,C$54+C$58&lt;=100),0,IF(AND(C$58&gt;0,C$58+C$54&lt;=1000),C$58+C$54-100,IF(AND(C$58&gt;0,C$58+C$54&gt;1000),1000-100))))))</f>
        <v>0</v>
      </c>
      <c r="C188" s="981" t="s">
        <v>2185</v>
      </c>
      <c r="D188" s="637">
        <f>B188*20/100</f>
        <v>0</v>
      </c>
      <c r="F188" s="818"/>
      <c r="G188" s="818"/>
      <c r="H188" s="818"/>
      <c r="I188" s="952"/>
    </row>
    <row r="189" spans="1:9">
      <c r="A189" s="981" t="s">
        <v>2186</v>
      </c>
      <c r="B189" s="637">
        <f>IF(C$54+C$58&lt;1000.01,0,IF(AND(C$54+C$58&gt;1000,C$54+C$58&lt;=1200),C$54+C$58-1000,IF(AND(C$54+C$58&gt;1200,C8="ja",C$54+C$58&lt;=1500),C$54+C$58-1000,IF(AND(C$54+C$58&gt;1200,C8="nein",C$54+C$58&lt;=1500),1200-1000,IF(AND(C$54+C$58&gt;=1500,C8="ja"),1500-1000,IF(AND(C$54+C$58&gt;1500,C8="nein"),1200-1000))))))</f>
        <v>0</v>
      </c>
      <c r="C189" s="981" t="s">
        <v>2187</v>
      </c>
      <c r="D189" s="637">
        <f>B189*10/100</f>
        <v>0</v>
      </c>
      <c r="F189" s="818"/>
      <c r="G189" s="818"/>
      <c r="H189" s="818"/>
      <c r="I189" s="952"/>
    </row>
    <row r="190" spans="1:9">
      <c r="A190" s="1262" t="s">
        <v>141</v>
      </c>
      <c r="B190" s="981"/>
      <c r="C190" s="981"/>
      <c r="D190" s="1263">
        <f>SUM(D188:D189)</f>
        <v>0</v>
      </c>
      <c r="F190" s="818"/>
      <c r="G190" s="818"/>
      <c r="H190" s="818"/>
      <c r="I190" s="952"/>
    </row>
    <row r="191" spans="1:9">
      <c r="A191" s="981"/>
      <c r="B191" s="981"/>
      <c r="C191" s="981"/>
      <c r="D191" s="981"/>
      <c r="F191" s="818"/>
      <c r="G191" s="818"/>
      <c r="H191" s="818"/>
      <c r="I191" s="952"/>
    </row>
    <row r="192" spans="1:9">
      <c r="A192" s="1258" t="s">
        <v>2188</v>
      </c>
      <c r="B192" s="1259"/>
      <c r="C192" s="981"/>
      <c r="D192" s="981"/>
      <c r="F192" s="818"/>
      <c r="G192" s="818"/>
      <c r="H192" s="818"/>
      <c r="I192" s="818"/>
    </row>
    <row r="193" spans="1:9">
      <c r="A193" s="981" t="s">
        <v>2184</v>
      </c>
      <c r="B193" s="637">
        <f>IF(AND(D$58=0,D$54&lt;=100),0,IF(AND(D$58=0,D$54&lt;=1000),D$54-100,IF(AND(D$58=0,D$54&gt;1000),1000-100,IF(AND(D$58&gt;0,D$54+D$58&lt;=100),0,IF(AND(D$58&gt;0,D$58+D$54&lt;=1000),D$58+D$54-100,IF(AND(D$58&gt;0,D$58+D$54&gt;1000),1000-100))))))</f>
        <v>0</v>
      </c>
      <c r="C193" s="981" t="s">
        <v>2185</v>
      </c>
      <c r="D193" s="637">
        <f>B193*20/100</f>
        <v>0</v>
      </c>
      <c r="F193" s="818"/>
      <c r="G193" s="818"/>
      <c r="H193" s="818"/>
      <c r="I193" s="952"/>
    </row>
    <row r="194" spans="1:9">
      <c r="A194" s="981" t="s">
        <v>2186</v>
      </c>
      <c r="B194" s="637">
        <f>IF(D$54+D$58&lt;1000.01,0,IF(AND(D$54+D$58&gt;1000,D$54+D$58&lt;=1200),D$54+D$58-1000,IF(AND(D$54+D$58&gt;1200,D$8="ja",D$54+D$58&lt;=1500),D$54+D$58-1000,IF(AND(D$54+D$58&gt;1200,D$8="nein",D$54+D$58&lt;=1500),1200-1000,IF(AND(D$54+D$58&gt;=1500,D$8="ja"),1500-1000,IF(AND(D$54+D$58&gt;1500,D$8="nein"),1200-1000))))))</f>
        <v>0</v>
      </c>
      <c r="C194" s="981" t="s">
        <v>2187</v>
      </c>
      <c r="D194" s="637">
        <f>B194*10/100</f>
        <v>0</v>
      </c>
      <c r="F194" s="818"/>
      <c r="G194" s="818"/>
      <c r="H194" s="818"/>
      <c r="I194" s="952"/>
    </row>
    <row r="195" spans="1:9">
      <c r="A195" s="1262" t="s">
        <v>141</v>
      </c>
      <c r="B195" s="981"/>
      <c r="C195" s="981"/>
      <c r="D195" s="1263">
        <f>SUM(D193:D194)</f>
        <v>0</v>
      </c>
      <c r="F195" s="818"/>
      <c r="G195" s="818"/>
      <c r="H195" s="818"/>
      <c r="I195" s="952"/>
    </row>
    <row r="196" spans="1:9">
      <c r="A196" s="981"/>
      <c r="B196" s="981"/>
      <c r="C196" s="981"/>
      <c r="D196" s="981"/>
      <c r="F196" s="818"/>
      <c r="G196" s="818"/>
      <c r="H196" s="818"/>
      <c r="I196" s="952"/>
    </row>
    <row r="197" spans="1:9">
      <c r="A197" s="1258" t="s">
        <v>2189</v>
      </c>
      <c r="B197" s="1259"/>
      <c r="C197" s="981"/>
      <c r="D197" s="981"/>
      <c r="F197" s="818"/>
      <c r="G197" s="818"/>
      <c r="H197" s="818"/>
      <c r="I197" s="952"/>
    </row>
    <row r="198" spans="1:9">
      <c r="A198" s="981" t="s">
        <v>2184</v>
      </c>
      <c r="B198" s="637">
        <f>IF(AND(E$58=0,E$54&lt;=100),0,IF(AND(E$58=0,E$54&lt;=1000),E$54-100,IF(AND(E$58=0,E$54&gt;1000),1000-100,IF(AND(E$58&gt;0,E$54+E$58&lt;=100),0,IF(AND(E$58&gt;0,E$58+E$54&lt;=1000),E$58+E$54-100,IF(AND(E$58&gt;0,E$58+E$54&gt;1000),1000-100))))))</f>
        <v>0</v>
      </c>
      <c r="C198" s="981" t="s">
        <v>2185</v>
      </c>
      <c r="D198" s="637">
        <f>B198*20/100</f>
        <v>0</v>
      </c>
    </row>
    <row r="199" spans="1:9">
      <c r="A199" s="981" t="s">
        <v>2186</v>
      </c>
      <c r="B199" s="637">
        <f>IF(E$54+E$58&lt;1000.01,0,IF(AND(E$54+E$58&gt;1000,E$54+E$58&lt;=1200),E$54+E$58-1000,IF(E$54+E$58&gt;1200,1200-1000,)))</f>
        <v>0</v>
      </c>
      <c r="C199" s="981" t="s">
        <v>2187</v>
      </c>
      <c r="D199" s="637">
        <f>B199*10/100</f>
        <v>0</v>
      </c>
    </row>
    <row r="200" spans="1:9">
      <c r="A200" s="1262" t="s">
        <v>141</v>
      </c>
      <c r="B200" s="981"/>
      <c r="C200" s="981"/>
      <c r="D200" s="1263">
        <f>SUM(D198:D199)</f>
        <v>0</v>
      </c>
    </row>
    <row r="201" spans="1:9">
      <c r="A201" s="981"/>
      <c r="B201" s="981"/>
      <c r="C201" s="981"/>
      <c r="D201" s="981"/>
    </row>
    <row r="202" spans="1:9">
      <c r="A202" s="1258" t="s">
        <v>2190</v>
      </c>
      <c r="B202" s="1259"/>
      <c r="C202" s="981"/>
      <c r="D202" s="981"/>
    </row>
    <row r="203" spans="1:9">
      <c r="A203" s="981" t="s">
        <v>2184</v>
      </c>
      <c r="B203" s="637">
        <f>IF(AND(F$58=0,F$54&lt;=100),0,IF(AND(F$58=0,F$54&lt;=1000),F$54-100,IF(AND(F$58=0,F$54&gt;1000),1000-100,IF(AND(F$58&gt;0,F$54+F$58&lt;=100),0,IF(AND(F$58&gt;0,F$58+F$54&lt;=1000),F$58+F$54-100,IF(AND(F$58&gt;0,F$58+F$54&gt;1000),1000-100))))))</f>
        <v>0</v>
      </c>
      <c r="C203" s="981" t="s">
        <v>2185</v>
      </c>
      <c r="D203" s="637">
        <f>B203*20/100</f>
        <v>0</v>
      </c>
    </row>
    <row r="204" spans="1:9">
      <c r="A204" s="981" t="s">
        <v>2186</v>
      </c>
      <c r="B204" s="637">
        <f>IF(F$54+F$58&lt;1000.01,0,IF(AND(F$54+F$58&gt;1000,F$54+F$58&lt;=1200),F$54+F$58-1000,IF(F$54+F$58&gt;1200,1200-1000,)))</f>
        <v>0</v>
      </c>
      <c r="C204" s="981" t="s">
        <v>2187</v>
      </c>
      <c r="D204" s="637">
        <f>B204*10/100</f>
        <v>0</v>
      </c>
    </row>
    <row r="205" spans="1:9">
      <c r="A205" s="1262" t="s">
        <v>141</v>
      </c>
      <c r="B205" s="981"/>
      <c r="C205" s="981"/>
      <c r="D205" s="1263">
        <f>SUM(D203:D204)</f>
        <v>0</v>
      </c>
    </row>
    <row r="206" spans="1:9">
      <c r="A206" s="981"/>
      <c r="B206" s="981"/>
      <c r="C206" s="981"/>
      <c r="D206" s="981"/>
    </row>
    <row r="207" spans="1:9">
      <c r="A207" s="1258" t="s">
        <v>2191</v>
      </c>
      <c r="B207" s="1259"/>
      <c r="C207" s="981"/>
      <c r="D207" s="981"/>
    </row>
    <row r="208" spans="1:9">
      <c r="A208" s="981" t="s">
        <v>2184</v>
      </c>
      <c r="B208" s="637">
        <f>IF(AND(G$58=0,G$54&lt;=100),0,IF(AND(G$58=0,G$54&lt;=1000),G$54-100,IF(AND(G$58=0,G$54&gt;1000),1000-100,IF(AND(G$58&gt;0,G$54+G$58&lt;=100),0,IF(AND(G$58&gt;0,G$58+G$54&lt;=1000),G$58+G$54-100,IF(AND(G$58&gt;0,G$58+G$54&gt;1000),1000-100))))))</f>
        <v>0</v>
      </c>
      <c r="C208" s="981" t="s">
        <v>2185</v>
      </c>
      <c r="D208" s="637">
        <f>B208*20/100</f>
        <v>0</v>
      </c>
    </row>
    <row r="209" spans="1:4">
      <c r="A209" s="981" t="s">
        <v>2186</v>
      </c>
      <c r="B209" s="637">
        <f>IF(G$54+G$58&lt;1000.01,0,IF(AND(G$54+G$58&gt;1000,G$54+G$58&lt;=1200),G$54+G$58-1000,IF(G$54+G$58&gt;1200,1200-1000,)))</f>
        <v>0</v>
      </c>
      <c r="C209" s="981" t="s">
        <v>2187</v>
      </c>
      <c r="D209" s="637">
        <f>B209*10/100</f>
        <v>0</v>
      </c>
    </row>
    <row r="210" spans="1:4">
      <c r="A210" s="1262" t="s">
        <v>141</v>
      </c>
      <c r="B210" s="981"/>
      <c r="C210" s="981"/>
      <c r="D210" s="1263">
        <f>SUM(D208:D209)</f>
        <v>0</v>
      </c>
    </row>
    <row r="211" spans="1:4">
      <c r="A211" s="981"/>
      <c r="B211" s="981"/>
      <c r="C211" s="981"/>
      <c r="D211" s="981"/>
    </row>
    <row r="212" spans="1:4">
      <c r="A212" s="1258" t="s">
        <v>2192</v>
      </c>
      <c r="B212" s="1259"/>
      <c r="C212" s="981"/>
      <c r="D212" s="981"/>
    </row>
    <row r="213" spans="1:4">
      <c r="A213" s="981" t="s">
        <v>2184</v>
      </c>
      <c r="B213" s="637">
        <f>IF(AND(H$58=0,H$54&lt;=100),0,IF(AND(H$58=0,H$54&lt;=1000),H$54-100,IF(AND(H$58=0,H$54&gt;1000),1000-100,IF(AND(H$58&gt;0,H$54+H$58&lt;=100),0,IF(AND(H$58&gt;0,H$58+H$54&lt;=1000),H$58+H$54-100,IF(AND(H$58&gt;0,H$58+H$54&gt;1000),1000-100))))))</f>
        <v>0</v>
      </c>
      <c r="C213" s="981" t="s">
        <v>2185</v>
      </c>
      <c r="D213" s="637">
        <f>B213*20/100</f>
        <v>0</v>
      </c>
    </row>
    <row r="214" spans="1:4">
      <c r="A214" s="981" t="s">
        <v>2186</v>
      </c>
      <c r="B214" s="637">
        <f>IF(H$54+H$58&lt;1000.01,0,IF(AND(H$54+H$58&gt;1000,H$54+H$58&lt;=1200),H$54+H$58-1000,IF(H$54+H$58&gt;1200,1200-1000,)))</f>
        <v>0</v>
      </c>
      <c r="C214" s="981" t="s">
        <v>2187</v>
      </c>
      <c r="D214" s="637">
        <f>B214*10/100</f>
        <v>0</v>
      </c>
    </row>
    <row r="215" spans="1:4">
      <c r="A215" s="1262" t="s">
        <v>141</v>
      </c>
      <c r="B215" s="981"/>
      <c r="C215" s="981"/>
      <c r="D215" s="1263">
        <f>SUM(D213:D214)</f>
        <v>0</v>
      </c>
    </row>
    <row r="216" spans="1:4">
      <c r="A216" s="981"/>
      <c r="B216" s="981"/>
      <c r="C216" s="981"/>
      <c r="D216" s="981"/>
    </row>
    <row r="217" spans="1:4">
      <c r="A217" s="1258" t="s">
        <v>2193</v>
      </c>
      <c r="B217" s="1259"/>
      <c r="C217" s="981"/>
      <c r="D217" s="981"/>
    </row>
    <row r="218" spans="1:4">
      <c r="A218" s="981" t="s">
        <v>2184</v>
      </c>
      <c r="B218" s="637">
        <f>IF(AND(I$58=0,I$54&lt;=100),0,IF(AND(I$58=0,I$54&lt;=1000),I$54-100,IF(AND(I$58=0,I$54&gt;1000),1000-100,IF(AND(I$58&gt;0,I$54+I$58&lt;=100),0,IF(AND(I$58&gt;0,I$58+I$54&lt;=1000),I$58+I$54-100,IF(AND(I$58&gt;0,I$58+I$54&gt;1000),1000-100))))))</f>
        <v>0</v>
      </c>
      <c r="C218" s="981" t="s">
        <v>2185</v>
      </c>
      <c r="D218" s="637">
        <f>B218*20/100</f>
        <v>0</v>
      </c>
    </row>
    <row r="219" spans="1:4">
      <c r="A219" s="981" t="s">
        <v>2186</v>
      </c>
      <c r="B219" s="637">
        <f>IF(I$54+I$58&lt;1000.01,0,IF(AND(I$54+I$58&gt;1000,I$54+I$58&lt;=1200),I$54+I$58-1000,IF(I$54+I$58&gt;1200,1200-1000,)))</f>
        <v>0</v>
      </c>
      <c r="C219" s="981" t="s">
        <v>2187</v>
      </c>
      <c r="D219" s="637">
        <f>B219*10/100</f>
        <v>0</v>
      </c>
    </row>
    <row r="220" spans="1:4">
      <c r="A220" s="1262" t="s">
        <v>141</v>
      </c>
      <c r="B220" s="981"/>
      <c r="C220" s="981"/>
      <c r="D220" s="1263">
        <f>SUM(D218:D219)</f>
        <v>0</v>
      </c>
    </row>
    <row r="221" spans="1:4">
      <c r="A221" s="818"/>
      <c r="B221" s="1264"/>
      <c r="C221" s="818"/>
      <c r="D221" s="818"/>
    </row>
    <row r="222" spans="1:4">
      <c r="A222" s="818"/>
      <c r="B222" s="952"/>
      <c r="C222" s="818"/>
      <c r="D222" s="952"/>
    </row>
    <row r="223" spans="1:4">
      <c r="A223" s="818"/>
      <c r="B223" s="952"/>
      <c r="C223" s="818"/>
      <c r="D223" s="952"/>
    </row>
    <row r="224" spans="1:4">
      <c r="A224" s="1265"/>
      <c r="B224" s="818"/>
      <c r="C224" s="818"/>
      <c r="D224" s="952"/>
    </row>
    <row r="225" spans="1:4">
      <c r="A225" s="818"/>
      <c r="B225" s="818"/>
      <c r="C225" s="818"/>
      <c r="D225" s="818"/>
    </row>
    <row r="226" spans="1:4">
      <c r="A226" s="1266"/>
      <c r="B226" s="1260"/>
      <c r="C226" s="818"/>
      <c r="D226" s="818"/>
    </row>
    <row r="227" spans="1:4">
      <c r="A227" s="818"/>
      <c r="B227" s="952"/>
      <c r="C227" s="818"/>
      <c r="D227" s="952"/>
    </row>
    <row r="228" spans="1:4">
      <c r="A228" s="818"/>
      <c r="B228" s="952"/>
      <c r="C228" s="818"/>
      <c r="D228" s="952"/>
    </row>
    <row r="229" spans="1:4">
      <c r="A229" s="1265"/>
      <c r="B229" s="818"/>
      <c r="C229" s="818"/>
      <c r="D229" s="952"/>
    </row>
    <row r="230" spans="1:4">
      <c r="A230" s="818"/>
      <c r="B230" s="818"/>
      <c r="C230" s="818"/>
      <c r="D230" s="818"/>
    </row>
    <row r="231" spans="1:4">
      <c r="A231" s="1266"/>
      <c r="B231" s="1260"/>
      <c r="C231" s="818"/>
      <c r="D231" s="818"/>
    </row>
    <row r="232" spans="1:4">
      <c r="A232" s="818"/>
      <c r="B232" s="952"/>
      <c r="C232" s="818"/>
      <c r="D232" s="952"/>
    </row>
    <row r="233" spans="1:4">
      <c r="A233" s="818"/>
      <c r="B233" s="952"/>
      <c r="C233" s="818"/>
      <c r="D233" s="952"/>
    </row>
    <row r="234" spans="1:4">
      <c r="A234" s="1265"/>
      <c r="B234" s="818"/>
      <c r="C234" s="818"/>
      <c r="D234" s="952"/>
    </row>
    <row r="235" spans="1:4">
      <c r="A235" s="818"/>
      <c r="B235" s="818"/>
      <c r="C235" s="818"/>
      <c r="D235" s="818"/>
    </row>
    <row r="236" spans="1:4">
      <c r="A236" s="1266"/>
      <c r="B236" s="1260"/>
      <c r="C236" s="818"/>
      <c r="D236" s="818"/>
    </row>
    <row r="237" spans="1:4">
      <c r="A237" s="818"/>
      <c r="B237" s="952"/>
      <c r="C237" s="818"/>
      <c r="D237" s="952"/>
    </row>
    <row r="238" spans="1:4">
      <c r="A238" s="818"/>
      <c r="B238" s="952"/>
      <c r="C238" s="818"/>
      <c r="D238" s="952"/>
    </row>
    <row r="239" spans="1:4">
      <c r="A239" s="1265"/>
      <c r="B239" s="818"/>
      <c r="C239" s="818"/>
      <c r="D239" s="952"/>
    </row>
  </sheetData>
  <sheetProtection sheet="1" objects="1" scenarios="1"/>
  <mergeCells count="1">
    <mergeCell ref="B3:C3"/>
  </mergeCells>
  <conditionalFormatting sqref="C132 D132:D133 D141:D146 C137:C146 E131:I133 D127:I128 A49 C7:I7 C13:I13 B3:C3 C49:I49 C21:I46 C14:C19 C179:I180 C177:I177 C170:I171 D15:I19 C10:I11 C118:I120 C83:I83 C112:I112 C114:I115 C95:I99 C101:I110 C74:I81 C90:I93 C85:I88 C54:I71 D138:I138 C148:I148">
    <cfRule type="cellIs" dxfId="42" priority="2" operator="equal">
      <formula>0</formula>
    </cfRule>
  </conditionalFormatting>
  <conditionalFormatting sqref="B21:B47 B145:B148 E149:I151 C47:I47 B50:C50 B13:B19 B49 B177:B182 B170:B172 B54:B120">
    <cfRule type="cellIs" dxfId="41" priority="3" operator="equal">
      <formula>0</formula>
    </cfRule>
  </conditionalFormatting>
  <conditionalFormatting sqref="B165:I165 B175:I175 B183:I184">
    <cfRule type="cellIs" dxfId="40" priority="4" operator="equal">
      <formula>0</formula>
    </cfRule>
  </conditionalFormatting>
  <conditionalFormatting sqref="A150">
    <cfRule type="cellIs" dxfId="39" priority="5" operator="equal">
      <formula>"Mehrbedarf nach § 27 (2) SGB II"</formula>
    </cfRule>
  </conditionalFormatting>
  <conditionalFormatting sqref="C150:D151">
    <cfRule type="cellIs" dxfId="38" priority="6" operator="notEqual">
      <formula>0</formula>
    </cfRule>
  </conditionalFormatting>
  <conditionalFormatting sqref="C161">
    <cfRule type="expression" dxfId="37" priority="7">
      <formula>$C$150&gt;0</formula>
    </cfRule>
  </conditionalFormatting>
  <conditionalFormatting sqref="A151">
    <cfRule type="cellIs" dxfId="36" priority="8" operator="equal">
      <formula>"./. Überschuss"</formula>
    </cfRule>
  </conditionalFormatting>
  <conditionalFormatting sqref="D161">
    <cfRule type="expression" dxfId="35" priority="9">
      <formula>$D$150&gt;0</formula>
    </cfRule>
  </conditionalFormatting>
  <conditionalFormatting sqref="C116:D116">
    <cfRule type="cellIs" dxfId="34" priority="10" operator="equal">
      <formula>0</formula>
    </cfRule>
  </conditionalFormatting>
  <conditionalFormatting sqref="E116:I116">
    <cfRule type="cellIs" dxfId="33" priority="11" operator="equal">
      <formula>0</formula>
    </cfRule>
  </conditionalFormatting>
  <conditionalFormatting sqref="C82:I82">
    <cfRule type="cellIs" dxfId="32" priority="12" operator="equal">
      <formula>0</formula>
    </cfRule>
  </conditionalFormatting>
  <conditionalFormatting sqref="C111:I111">
    <cfRule type="cellIs" dxfId="31" priority="13" operator="equal">
      <formula>0</formula>
    </cfRule>
  </conditionalFormatting>
  <conditionalFormatting sqref="C113:I113">
    <cfRule type="cellIs" dxfId="30" priority="14" operator="equal">
      <formula>0</formula>
    </cfRule>
  </conditionalFormatting>
  <conditionalFormatting sqref="C154:I157">
    <cfRule type="cellIs" dxfId="29" priority="15" operator="equal">
      <formula>0</formula>
    </cfRule>
  </conditionalFormatting>
  <conditionalFormatting sqref="B153:B158">
    <cfRule type="cellIs" dxfId="28" priority="16" operator="equal">
      <formula>0</formula>
    </cfRule>
  </conditionalFormatting>
  <conditionalFormatting sqref="C117:I117">
    <cfRule type="cellIs" dxfId="27" priority="17" operator="equal">
      <formula>0</formula>
    </cfRule>
  </conditionalFormatting>
  <conditionalFormatting sqref="C147">
    <cfRule type="cellIs" dxfId="26" priority="18" operator="equal">
      <formula>0</formula>
    </cfRule>
  </conditionalFormatting>
  <conditionalFormatting sqref="D147">
    <cfRule type="cellIs" dxfId="25" priority="19" operator="equal">
      <formula>0</formula>
    </cfRule>
  </conditionalFormatting>
  <conditionalFormatting sqref="E147:I147">
    <cfRule type="cellIs" dxfId="24" priority="20" operator="equal">
      <formula>0</formula>
    </cfRule>
  </conditionalFormatting>
  <pageMargins left="0.7" right="0.7" top="0.78749999999999998" bottom="0.78749999999999998" header="0.51180555555555496" footer="0.51180555555555496"/>
  <pageSetup paperSize="9" firstPageNumber="0" orientation="portrait" horizontalDpi="300" verticalDpi="300"/>
</worksheet>
</file>

<file path=xl/worksheets/sheet17.xml><?xml version="1.0" encoding="utf-8"?>
<worksheet xmlns="http://schemas.openxmlformats.org/spreadsheetml/2006/main" xmlns:r="http://schemas.openxmlformats.org/officeDocument/2006/relationships">
  <dimension ref="A1:BL239"/>
  <sheetViews>
    <sheetView showGridLines="0" zoomScale="120" zoomScaleNormal="120" workbookViewId="0">
      <selection activeCell="I2" sqref="I2"/>
    </sheetView>
  </sheetViews>
  <sheetFormatPr baseColWidth="10" defaultColWidth="11.5703125" defaultRowHeight="16.5"/>
  <cols>
    <col min="1" max="1" width="33.28515625" style="801" customWidth="1"/>
    <col min="2" max="2" width="16.7109375" style="801" customWidth="1"/>
    <col min="3" max="3" width="12.85546875" style="801" customWidth="1"/>
    <col min="4" max="6" width="13" style="801" customWidth="1"/>
    <col min="7" max="7" width="12.5703125" style="801" customWidth="1"/>
    <col min="8" max="8" width="12.7109375" style="801" customWidth="1"/>
    <col min="9" max="9" width="13.42578125" style="801" customWidth="1"/>
    <col min="10" max="64" width="11.42578125" style="801" customWidth="1"/>
  </cols>
  <sheetData>
    <row r="1" spans="1:11" ht="20.25" customHeight="1">
      <c r="H1" s="802" t="s">
        <v>2156</v>
      </c>
      <c r="I1" s="803">
        <f ca="1">TODAY()</f>
        <v>44774</v>
      </c>
    </row>
    <row r="2" spans="1:11" ht="36" customHeight="1">
      <c r="A2" s="1313"/>
      <c r="B2" s="1314" t="s">
        <v>2157</v>
      </c>
      <c r="C2" s="1315"/>
      <c r="D2" s="1316"/>
      <c r="E2" s="1317"/>
      <c r="F2" s="1317"/>
      <c r="G2" s="1317"/>
      <c r="H2" s="1317"/>
      <c r="I2" s="1318"/>
      <c r="J2" s="1268"/>
      <c r="K2" s="1268"/>
    </row>
    <row r="3" spans="1:11" ht="18.75">
      <c r="A3" s="806" t="s">
        <v>138</v>
      </c>
      <c r="B3" s="1990">
        <f>Zusatzeingaben!B2</f>
        <v>0</v>
      </c>
      <c r="C3" s="1990"/>
      <c r="D3" s="807" t="s">
        <v>139</v>
      </c>
      <c r="E3" s="813">
        <f>Zusatzeingaben!E2</f>
        <v>44774</v>
      </c>
      <c r="F3" s="809" t="s">
        <v>2158</v>
      </c>
      <c r="G3" s="814">
        <f>Zusatzeingaben!F2</f>
        <v>44804</v>
      </c>
      <c r="H3" s="811"/>
      <c r="I3" s="812"/>
      <c r="J3" s="1268"/>
      <c r="K3" s="1268"/>
    </row>
    <row r="4" spans="1:11">
      <c r="J4" s="1268"/>
      <c r="K4" s="1268"/>
    </row>
    <row r="5" spans="1:11" ht="23.25">
      <c r="A5" s="1319"/>
      <c r="B5" s="1320" t="s">
        <v>127</v>
      </c>
      <c r="C5" s="1316"/>
      <c r="D5" s="1316"/>
      <c r="E5" s="1316"/>
      <c r="F5" s="1316"/>
      <c r="G5" s="1316"/>
      <c r="H5" s="1316"/>
      <c r="I5" s="1321"/>
    </row>
    <row r="6" spans="1:11" ht="20.25" customHeight="1">
      <c r="A6" s="839"/>
      <c r="B6" s="1322" t="s">
        <v>246</v>
      </c>
      <c r="C6" s="1322" t="str">
        <f>Zusatzeingaben!C4</f>
        <v>Antragsteller</v>
      </c>
      <c r="D6" s="1322" t="str">
        <f>Zusatzeingaben!D4</f>
        <v>Partner(in)</v>
      </c>
      <c r="E6" s="1322" t="str">
        <f>Zusatzeingaben!E4</f>
        <v>Kind 1</v>
      </c>
      <c r="F6" s="1322" t="s">
        <v>145</v>
      </c>
      <c r="G6" s="1322" t="s">
        <v>146</v>
      </c>
      <c r="H6" s="1322" t="s">
        <v>147</v>
      </c>
      <c r="I6" s="1323" t="s">
        <v>148</v>
      </c>
    </row>
    <row r="7" spans="1:11">
      <c r="A7" s="839" t="s">
        <v>2159</v>
      </c>
      <c r="B7" s="1324">
        <f>Zusatzeingaben!B6</f>
        <v>1</v>
      </c>
      <c r="C7" s="841">
        <f>Zusatzeingaben!C6</f>
        <v>0</v>
      </c>
      <c r="D7" s="841">
        <f>Zusatzeingaben!D6</f>
        <v>0</v>
      </c>
      <c r="E7" s="841">
        <f>Zusatzeingaben!E6</f>
        <v>0</v>
      </c>
      <c r="F7" s="841">
        <f>Zusatzeingaben!F6</f>
        <v>0</v>
      </c>
      <c r="G7" s="841">
        <f>Zusatzeingaben!G6</f>
        <v>0</v>
      </c>
      <c r="H7" s="841">
        <f>Zusatzeingaben!H6</f>
        <v>0</v>
      </c>
      <c r="I7" s="842">
        <f>Zusatzeingaben!I6</f>
        <v>0</v>
      </c>
    </row>
    <row r="8" spans="1:11" hidden="1">
      <c r="A8" s="839" t="s">
        <v>2160</v>
      </c>
      <c r="B8" s="864"/>
      <c r="C8" s="1325" t="str">
        <f>Zusatzeingaben!E7</f>
        <v>nein</v>
      </c>
      <c r="D8" s="1325" t="str">
        <f>Zusatzeingaben!F7</f>
        <v>nein</v>
      </c>
      <c r="E8" s="1325"/>
      <c r="F8" s="1325"/>
      <c r="G8" s="1325"/>
      <c r="H8" s="1325"/>
      <c r="I8" s="1326"/>
    </row>
    <row r="9" spans="1:11">
      <c r="A9" s="839" t="s">
        <v>2161</v>
      </c>
      <c r="B9" s="889"/>
      <c r="C9" s="879">
        <f>Zusatzeingaben!C22</f>
        <v>0</v>
      </c>
      <c r="D9" s="879">
        <f>Zusatzeingaben!D22</f>
        <v>0</v>
      </c>
      <c r="E9" s="879">
        <f>IF(Zusatzeingaben!E16=0,Zusatzeingaben!E16,Zusatzeingaben!E22)</f>
        <v>0</v>
      </c>
      <c r="F9" s="879">
        <f>IF(Zusatzeingaben!F16=0,Zusatzeingaben!F16,Zusatzeingaben!F22)</f>
        <v>0</v>
      </c>
      <c r="G9" s="879">
        <f>IF(Zusatzeingaben!G16=0,Zusatzeingaben!G16,Zusatzeingaben!G22)</f>
        <v>0</v>
      </c>
      <c r="H9" s="879">
        <f>IF(Zusatzeingaben!H16=0,Zusatzeingaben!H16,Zusatzeingaben!H22)</f>
        <v>0</v>
      </c>
      <c r="I9" s="880">
        <f>IF(Zusatzeingaben!I16=0,Zusatzeingaben!I16,Zusatzeingaben!I22)</f>
        <v>0</v>
      </c>
    </row>
    <row r="10" spans="1:11">
      <c r="A10" s="854" t="s">
        <v>2162</v>
      </c>
      <c r="B10" s="1327"/>
      <c r="C10" s="1328" t="str">
        <f>Zusatzeingaben!C35</f>
        <v>ja</v>
      </c>
      <c r="D10" s="1328">
        <f>IF(Zusatzeingaben!D33&gt;0,Zusatzeingaben!D35,0)</f>
        <v>0</v>
      </c>
      <c r="E10" s="1328">
        <f>IF(Zusatzeingaben!E33&gt;0,Zusatzeingaben!E35,0)</f>
        <v>0</v>
      </c>
      <c r="F10" s="1328">
        <f>IF(Zusatzeingaben!F33&gt;0,Zusatzeingaben!F35,0)</f>
        <v>0</v>
      </c>
      <c r="G10" s="1328">
        <f>IF(Zusatzeingaben!G33&gt;0,Zusatzeingaben!G35,0)</f>
        <v>0</v>
      </c>
      <c r="H10" s="1328">
        <f>IF(Zusatzeingaben!H33&gt;0,Zusatzeingaben!H35,0)</f>
        <v>0</v>
      </c>
      <c r="I10" s="1329">
        <f>IF(Zusatzeingaben!I33&gt;0,Zusatzeingaben!I35,0)</f>
        <v>0</v>
      </c>
    </row>
    <row r="11" spans="1:11">
      <c r="A11" s="1330" t="s">
        <v>2163</v>
      </c>
      <c r="B11" s="1331">
        <f>SUM(C11:I11)</f>
        <v>449</v>
      </c>
      <c r="C11" s="1332">
        <f>Zusatzeingaben!C33</f>
        <v>449</v>
      </c>
      <c r="D11" s="1332">
        <f>Zusatzeingaben!D33</f>
        <v>0</v>
      </c>
      <c r="E11" s="1332">
        <f>Zusatzeingaben!E33</f>
        <v>0</v>
      </c>
      <c r="F11" s="1332">
        <f>Zusatzeingaben!F33</f>
        <v>0</v>
      </c>
      <c r="G11" s="1332">
        <f>Zusatzeingaben!G33</f>
        <v>0</v>
      </c>
      <c r="H11" s="1332">
        <f>Zusatzeingaben!H33</f>
        <v>0</v>
      </c>
      <c r="I11" s="1333">
        <f>Zusatzeingaben!I33</f>
        <v>0</v>
      </c>
    </row>
    <row r="12" spans="1:11">
      <c r="A12" s="1334" t="s">
        <v>2164</v>
      </c>
      <c r="B12" s="522"/>
      <c r="C12" s="1016"/>
      <c r="D12" s="1016"/>
      <c r="E12" s="1016"/>
      <c r="F12" s="1016"/>
      <c r="G12" s="1016"/>
      <c r="H12" s="1016"/>
      <c r="I12" s="1017"/>
    </row>
    <row r="13" spans="1:11">
      <c r="A13" s="976">
        <f>IF(B13&gt;0,"Schwangerschaft",0)</f>
        <v>0</v>
      </c>
      <c r="B13" s="1335">
        <f>SUM(C13:I13)</f>
        <v>0</v>
      </c>
      <c r="C13" s="522">
        <f>IF(OR(Zusatzeingaben!C37="",C10="nur Mehrbedarf"),0,Zusatzeingaben!C45)</f>
        <v>0</v>
      </c>
      <c r="D13" s="522">
        <f>IF(OR(Zusatzeingaben!D37="",D10="nur Mehrbedarf"),0,Zusatzeingaben!D45)</f>
        <v>0</v>
      </c>
      <c r="E13" s="522">
        <f>IF(Zusatzeingaben!E37="",0,Zusatzeingaben!E45)</f>
        <v>0</v>
      </c>
      <c r="F13" s="522"/>
      <c r="G13" s="522"/>
      <c r="H13" s="522"/>
      <c r="I13" s="523"/>
    </row>
    <row r="14" spans="1:11">
      <c r="A14" s="976">
        <f>IF(B14&gt;0,"Alleinerziehende",0)</f>
        <v>0</v>
      </c>
      <c r="B14" s="1335">
        <f>C14</f>
        <v>0</v>
      </c>
      <c r="C14" s="522">
        <f>IF(C10="nur Mehrbedarf",0,Zusatzeingaben!B46)</f>
        <v>0</v>
      </c>
      <c r="D14" s="522"/>
      <c r="E14" s="522"/>
      <c r="F14" s="522"/>
      <c r="G14" s="522"/>
      <c r="H14" s="522"/>
      <c r="I14" s="523"/>
    </row>
    <row r="15" spans="1:11">
      <c r="A15" s="976">
        <f>IF(B15&gt;0,"behinderter Mensch, Teilhabe",0)</f>
        <v>0</v>
      </c>
      <c r="B15" s="1335">
        <f>SUM(C15:I15)</f>
        <v>0</v>
      </c>
      <c r="C15" s="522">
        <f>IF(Zusatzeingaben!C34="ja",Zusatzeingaben!C92,0)</f>
        <v>0</v>
      </c>
      <c r="D15" s="522">
        <f>IF(Zusatzeingaben!D34="ja",Zusatzeingaben!D92,0)</f>
        <v>0</v>
      </c>
      <c r="E15" s="522">
        <f>IF(Zusatzeingaben!E34="ja",Zusatzeingaben!E92,0)</f>
        <v>0</v>
      </c>
      <c r="F15" s="522">
        <f>IF(Zusatzeingaben!F34="ja",Zusatzeingaben!F92,0)</f>
        <v>0</v>
      </c>
      <c r="G15" s="522">
        <f>IF(Zusatzeingaben!G34="ja",Zusatzeingaben!G92,0)</f>
        <v>0</v>
      </c>
      <c r="H15" s="522">
        <f>IF(Zusatzeingaben!H34="ja",Zusatzeingaben!H92,0)</f>
        <v>0</v>
      </c>
      <c r="I15" s="523">
        <f>IF(Zusatzeingaben!I34="ja",Zusatzeingaben!I92,0)</f>
        <v>0</v>
      </c>
    </row>
    <row r="16" spans="1:11">
      <c r="A16" s="976">
        <f>IF(B16&gt;0,"kostenaufwändige Ernährung",0)</f>
        <v>0</v>
      </c>
      <c r="B16" s="1335">
        <f>SUM(C16:I16)</f>
        <v>0</v>
      </c>
      <c r="C16" s="522">
        <f>IF(C10="nur Mehrbedarf",0,Zusatzeingaben!C93)</f>
        <v>0</v>
      </c>
      <c r="D16" s="522">
        <f>IF(D10="nur Mehrbedarf",0,Zusatzeingaben!D93)</f>
        <v>0</v>
      </c>
      <c r="E16" s="522">
        <f>Zusatzeingaben!E93</f>
        <v>0</v>
      </c>
      <c r="F16" s="522">
        <f>Zusatzeingaben!F93</f>
        <v>0</v>
      </c>
      <c r="G16" s="522">
        <f>Zusatzeingaben!G93</f>
        <v>0</v>
      </c>
      <c r="H16" s="522">
        <f>Zusatzeingaben!H93</f>
        <v>0</v>
      </c>
      <c r="I16" s="523">
        <f>Zusatzeingaben!I93</f>
        <v>0</v>
      </c>
    </row>
    <row r="17" spans="1:11">
      <c r="A17" s="976">
        <f>IF(B17&gt;0,"unabweisbarer, lfd., besond. Bedarf",0)</f>
        <v>0</v>
      </c>
      <c r="B17" s="1335">
        <f>SUM(C17:I17)</f>
        <v>0</v>
      </c>
      <c r="C17" s="522">
        <f>IF(C10="nur Mehrbedarf",0,Zusatzeingaben!C94)</f>
        <v>0</v>
      </c>
      <c r="D17" s="522">
        <f>IF(D10="nur Mehrbedarf",0,Zusatzeingaben!D94)</f>
        <v>0</v>
      </c>
      <c r="E17" s="522">
        <f>Zusatzeingaben!E94</f>
        <v>0</v>
      </c>
      <c r="F17" s="522">
        <f>Zusatzeingaben!F94</f>
        <v>0</v>
      </c>
      <c r="G17" s="522">
        <f>Zusatzeingaben!G94</f>
        <v>0</v>
      </c>
      <c r="H17" s="522">
        <f>Zusatzeingaben!H94</f>
        <v>0</v>
      </c>
      <c r="I17" s="523">
        <f>Zusatzeingaben!I94</f>
        <v>0</v>
      </c>
    </row>
    <row r="18" spans="1:11">
      <c r="A18" s="976">
        <f>IF(B18&gt;0,"Warmwasser dezentral",0)</f>
        <v>0</v>
      </c>
      <c r="B18" s="1335">
        <f>SUM(C18:I18)</f>
        <v>0</v>
      </c>
      <c r="C18" s="522">
        <f>Zusatzeingaben!C98</f>
        <v>0</v>
      </c>
      <c r="D18" s="522">
        <f>Zusatzeingaben!D98</f>
        <v>0</v>
      </c>
      <c r="E18" s="522">
        <f>Zusatzeingaben!E98</f>
        <v>0</v>
      </c>
      <c r="F18" s="522">
        <f>Zusatzeingaben!F98</f>
        <v>0</v>
      </c>
      <c r="G18" s="522">
        <f>Zusatzeingaben!G98</f>
        <v>0</v>
      </c>
      <c r="H18" s="522">
        <f>Zusatzeingaben!H98</f>
        <v>0</v>
      </c>
      <c r="I18" s="523">
        <f>Zusatzeingaben!I98</f>
        <v>0</v>
      </c>
    </row>
    <row r="19" spans="1:11">
      <c r="A19" s="976">
        <f>IF(B19&gt;0,"erwerbsunfähig, Merkzeichen G",0)</f>
        <v>0</v>
      </c>
      <c r="B19" s="1335">
        <f>SUM(C19:I19)</f>
        <v>0</v>
      </c>
      <c r="C19" s="522">
        <f>IF(Zusatzeingaben!C34="nein",Zusatzeingaben!C100,0)</f>
        <v>0</v>
      </c>
      <c r="D19" s="522">
        <f>IF(Zusatzeingaben!D34="nein",Zusatzeingaben!D100,0)</f>
        <v>0</v>
      </c>
      <c r="E19" s="522">
        <f>IF(Zusatzeingaben!E34="nein",Zusatzeingaben!E100,0)</f>
        <v>0</v>
      </c>
      <c r="F19" s="522">
        <f>IF(Zusatzeingaben!F34="nein",Zusatzeingaben!F100,0)</f>
        <v>0</v>
      </c>
      <c r="G19" s="522">
        <f>IF(Zusatzeingaben!G34="nein",Zusatzeingaben!G100,0)</f>
        <v>0</v>
      </c>
      <c r="H19" s="522">
        <f>IF(Zusatzeingaben!H34="nein",Zusatzeingaben!H100,0)</f>
        <v>0</v>
      </c>
      <c r="I19" s="523">
        <f>IF(Zusatzeingaben!I34="nein",Zusatzeingaben!I100,0)</f>
        <v>0</v>
      </c>
    </row>
    <row r="20" spans="1:11" ht="18" customHeight="1">
      <c r="A20" s="1336" t="s">
        <v>169</v>
      </c>
      <c r="B20" s="522"/>
      <c r="C20" s="518"/>
      <c r="D20" s="518"/>
      <c r="E20" s="518"/>
      <c r="F20" s="1016"/>
      <c r="G20" s="1016"/>
      <c r="H20" s="1016"/>
      <c r="I20" s="1017"/>
    </row>
    <row r="21" spans="1:11" hidden="1">
      <c r="A21" s="833"/>
      <c r="B21" s="522">
        <f>Zusatzeingaben!C102</f>
        <v>0</v>
      </c>
      <c r="C21" s="522">
        <f>B21/B7</f>
        <v>0</v>
      </c>
      <c r="D21" s="522">
        <f>IF(D9=0,0,B21/B7)</f>
        <v>0</v>
      </c>
      <c r="E21" s="522">
        <f>IF(Zusatzeingaben!E33=0,0,B21/B7)</f>
        <v>0</v>
      </c>
      <c r="F21" s="522">
        <f>IF(Zusatzeingaben!F33=0,0,B21/B7)</f>
        <v>0</v>
      </c>
      <c r="G21" s="522">
        <f>IF(Zusatzeingaben!G33=0,0,B21/B7)</f>
        <v>0</v>
      </c>
      <c r="H21" s="522">
        <f>IF(Zusatzeingaben!H33=0,0,B21/B7)</f>
        <v>0</v>
      </c>
      <c r="I21" s="523">
        <f>IF(Zusatzeingaben!I33=0,0,B21/B7)</f>
        <v>0</v>
      </c>
    </row>
    <row r="22" spans="1:11" hidden="1">
      <c r="A22" s="1337"/>
      <c r="B22" s="522">
        <f>SUM(C22:I22)</f>
        <v>0</v>
      </c>
      <c r="C22" s="522">
        <f>C21</f>
        <v>0</v>
      </c>
      <c r="D22" s="522">
        <f>D21</f>
        <v>0</v>
      </c>
      <c r="E22" s="522">
        <f>IF(Zusatzeingaben!E8&gt;Zusatzeingaben!E2,E21*Zusatzeingaben!E14/30,IF(Zusatzeingaben!E18=25,E21*Zusatzeingaben!E10/30,E21))</f>
        <v>0</v>
      </c>
      <c r="F22" s="522">
        <f>IF(Zusatzeingaben!F8&gt;Zusatzeingaben!E2,F21*Zusatzeingaben!F14/30,IF(Zusatzeingaben!F18=25,F21*Zusatzeingaben!F10/30,F21))</f>
        <v>0</v>
      </c>
      <c r="G22" s="522">
        <f>IF(Zusatzeingaben!G8&gt;Zusatzeingaben!E2,G21*Zusatzeingaben!G14/30,IF(Zusatzeingaben!G18=25,G21*Zusatzeingaben!G10/30,G21))</f>
        <v>0</v>
      </c>
      <c r="H22" s="522">
        <f>IF(Zusatzeingaben!H8&gt;Zusatzeingaben!E2,H21*Zusatzeingaben!H14/30,IF(Zusatzeingaben!H18=25,H21*Zusatzeingaben!H10/30,H21))</f>
        <v>0</v>
      </c>
      <c r="I22" s="523">
        <f>IF(Zusatzeingaben!I8&gt;Zusatzeingaben!E2,I21*Zusatzeingaben!I14/30,IF(Zusatzeingaben!I18=25,I21*Zusatzeingaben!I10/30,I21))</f>
        <v>0</v>
      </c>
      <c r="K22" s="1338">
        <f>COUNTIF(C22:I22,C22)</f>
        <v>7</v>
      </c>
    </row>
    <row r="23" spans="1:11" hidden="1">
      <c r="A23" s="833"/>
      <c r="B23" s="522">
        <f>SUM(C23:I23)</f>
        <v>0</v>
      </c>
      <c r="C23" s="522">
        <f>IF(AND(B22&lt;B21,C22=C21,C22&gt;0),C21+(B21-B22)/K22,C22)</f>
        <v>0</v>
      </c>
      <c r="D23" s="522">
        <f>IF(AND(B22&lt;B21,D22=D21,D22&gt;0),D21+(B21-B22)/K22,D22)</f>
        <v>0</v>
      </c>
      <c r="E23" s="522">
        <f>IF(AND(B22&lt;B21,E22=E21,E22&gt;0),E21+(B21-B22)/K22,E22)</f>
        <v>0</v>
      </c>
      <c r="F23" s="522">
        <f>IF(AND(B22&lt;B21,F22=F21,F22&gt;0),F21+(B21-B22)/K22,F22)</f>
        <v>0</v>
      </c>
      <c r="G23" s="522">
        <f>IF(AND(B22&lt;B21,G22=G21,G22&gt;0),G21+(B21-B22)/K22,G22)</f>
        <v>0</v>
      </c>
      <c r="H23" s="522">
        <f>IF(AND(B22&lt;B21,H22=H21,H22&gt;0),H21+(B21-B22)/K22,H22)</f>
        <v>0</v>
      </c>
      <c r="I23" s="523">
        <f>IF(AND(B22&lt;B21,I22=I21,I22&gt;0),I21+(B21-B22)/K22,I22)</f>
        <v>0</v>
      </c>
    </row>
    <row r="24" spans="1:11">
      <c r="A24" s="1339">
        <f>IF(B24&gt;0,Zusatzeingaben!A102,0)</f>
        <v>0</v>
      </c>
      <c r="B24" s="1335">
        <f>SUM(C24:I24)</f>
        <v>0</v>
      </c>
      <c r="C24" s="522">
        <f>IF(Zusatzeingaben!$K$18&gt;0,C22,C23)</f>
        <v>0</v>
      </c>
      <c r="D24" s="522">
        <f>IF(Zusatzeingaben!$K$18&gt;0,D22,D23)</f>
        <v>0</v>
      </c>
      <c r="E24" s="522">
        <f>IF(Zusatzeingaben!$K$18&gt;0,E22,E23)</f>
        <v>0</v>
      </c>
      <c r="F24" s="522">
        <f>IF(Zusatzeingaben!$K$18&gt;0,F22,F23)</f>
        <v>0</v>
      </c>
      <c r="G24" s="522">
        <f>IF(Zusatzeingaben!$K$18&gt;0,G22,G23)</f>
        <v>0</v>
      </c>
      <c r="H24" s="522">
        <f>IF(Zusatzeingaben!$K$18&gt;0,H22,H23)</f>
        <v>0</v>
      </c>
      <c r="I24" s="523">
        <f>IF(Zusatzeingaben!$K$18&gt;0,I22,I23)</f>
        <v>0</v>
      </c>
    </row>
    <row r="25" spans="1:11" hidden="1">
      <c r="A25" s="1340" t="str">
        <f>Zusatzeingaben!A103</f>
        <v>weitere Kosten</v>
      </c>
      <c r="B25" s="522">
        <f>Zusatzeingaben!C103</f>
        <v>0</v>
      </c>
      <c r="C25" s="522">
        <f>B25/B7</f>
        <v>0</v>
      </c>
      <c r="D25" s="522">
        <f>IF(D9="",0,B25/B7)</f>
        <v>0</v>
      </c>
      <c r="E25" s="522">
        <f>IF(E9="",0,B25/B7)</f>
        <v>0</v>
      </c>
      <c r="F25" s="522">
        <f>IF(F9="",0,B25/B7)</f>
        <v>0</v>
      </c>
      <c r="G25" s="522">
        <f>IF(G9="",0,B25/B7)</f>
        <v>0</v>
      </c>
      <c r="H25" s="522">
        <f>IF(H9="",0,B25/B7)</f>
        <v>0</v>
      </c>
      <c r="I25" s="523">
        <f>IF(I9="",0,B25/B7)</f>
        <v>0</v>
      </c>
    </row>
    <row r="26" spans="1:11" hidden="1">
      <c r="A26" s="1341"/>
      <c r="B26" s="522">
        <f>Zusatzeingaben!C104</f>
        <v>0</v>
      </c>
      <c r="C26" s="522">
        <f>B26/B7</f>
        <v>0</v>
      </c>
      <c r="D26" s="522">
        <f>IF(D9=0,0,B26/B7)</f>
        <v>0</v>
      </c>
      <c r="E26" s="522">
        <f>IF(Zusatzeingaben!E33=0,0,B26/B7)</f>
        <v>0</v>
      </c>
      <c r="F26" s="522">
        <f>IF(Zusatzeingaben!F33=0,0,B26/B7)</f>
        <v>0</v>
      </c>
      <c r="G26" s="522">
        <f>IF(Zusatzeingaben!G33=0,0,B26/B7)</f>
        <v>0</v>
      </c>
      <c r="H26" s="522">
        <f>IF(Zusatzeingaben!H33=0,0,B26/B7)</f>
        <v>0</v>
      </c>
      <c r="I26" s="523">
        <f>IF(Zusatzeingaben!I33=0,0,B26/B7)</f>
        <v>0</v>
      </c>
    </row>
    <row r="27" spans="1:11" hidden="1">
      <c r="A27" s="1339"/>
      <c r="B27" s="522">
        <f>SUM(C27:I27)</f>
        <v>0</v>
      </c>
      <c r="C27" s="522">
        <f>C26</f>
        <v>0</v>
      </c>
      <c r="D27" s="522">
        <f>D26</f>
        <v>0</v>
      </c>
      <c r="E27" s="522">
        <f>IF(Zusatzeingaben!E8&gt;Zusatzeingaben!E2,E26*Zusatzeingaben!E14/30,IF(Zusatzeingaben!E18=25,E26*Zusatzeingaben!E10/30,E26))</f>
        <v>0</v>
      </c>
      <c r="F27" s="522">
        <f>IF(Zusatzeingaben!F8&gt;Zusatzeingaben!E2,F26*Zusatzeingaben!F14/30,IF(Zusatzeingaben!F18=25,F26*Zusatzeingaben!F10/30,F26))</f>
        <v>0</v>
      </c>
      <c r="G27" s="522">
        <f>IF(Zusatzeingaben!G8&gt;Zusatzeingaben!E2,G26*Zusatzeingaben!G14/30,IF(Zusatzeingaben!G18=25,G26*Zusatzeingaben!G10/30,G26))</f>
        <v>0</v>
      </c>
      <c r="H27" s="522">
        <f>IF(Zusatzeingaben!H8&gt;Zusatzeingaben!E2,H26*Zusatzeingaben!H14/30,IF(Zusatzeingaben!H18=25,H26*Zusatzeingaben!H10/30,H26))</f>
        <v>0</v>
      </c>
      <c r="I27" s="523">
        <f>IF(Zusatzeingaben!I8&gt;Zusatzeingaben!E2,I26*Zusatzeingaben!I14/30,IF(Zusatzeingaben!I18=25,I26*Zusatzeingaben!I10/30,I26))</f>
        <v>0</v>
      </c>
      <c r="K27" s="1338">
        <f>COUNTIF(C27:I27,C27)</f>
        <v>7</v>
      </c>
    </row>
    <row r="28" spans="1:11" hidden="1">
      <c r="A28" s="1341"/>
      <c r="B28" s="522">
        <f>SUM(C28:I28)</f>
        <v>0</v>
      </c>
      <c r="C28" s="522">
        <f>IF(AND(B27&lt;B26,C27=C26,C27&gt;0),C26+(B26-B27)/K27,C27)</f>
        <v>0</v>
      </c>
      <c r="D28" s="522">
        <f>IF(AND(B27&lt;B26,D27=D26,D27&gt;0),D26+(B26-B27)/K27,D27)</f>
        <v>0</v>
      </c>
      <c r="E28" s="522">
        <f>IF(AND(B27&lt;B26,E27=E26,E27&gt;0),E26+(B26-B27)/K27,E27)</f>
        <v>0</v>
      </c>
      <c r="F28" s="522">
        <f>IF(AND(B27&lt;B26,F27=F26,F27&gt;0),F26+(B26-B27)/K27,F27)</f>
        <v>0</v>
      </c>
      <c r="G28" s="522">
        <f>IF(AND(B27&lt;B26,G27=G26,G27&gt;0),G26+(B26-B27)/K27,G27)</f>
        <v>0</v>
      </c>
      <c r="H28" s="522">
        <f>IF(AND(B27&lt;B26,H27=H26,H27&gt;0),H26+(B26-B27)/K27,H27)</f>
        <v>0</v>
      </c>
      <c r="I28" s="523">
        <f>IF(AND(B27&lt;B26,I27=I26,I27&gt;0),I26+(B26-B27)/K27,I27)</f>
        <v>0</v>
      </c>
    </row>
    <row r="29" spans="1:11">
      <c r="A29" s="1339">
        <f>IF(B29&gt;0,Zusatzeingaben!A104,0)</f>
        <v>0</v>
      </c>
      <c r="B29" s="1335">
        <f>SUM(C29:I29)</f>
        <v>0</v>
      </c>
      <c r="C29" s="522">
        <f>IF(Zusatzeingaben!$K$18&gt;0,C27,C28)</f>
        <v>0</v>
      </c>
      <c r="D29" s="522">
        <f>IF(Zusatzeingaben!$K$18&gt;0,D27,D28)</f>
        <v>0</v>
      </c>
      <c r="E29" s="522">
        <f>IF(Zusatzeingaben!$K$18&gt;0,E27,E28)</f>
        <v>0</v>
      </c>
      <c r="F29" s="522">
        <f>IF(Zusatzeingaben!$K$18&gt;0,F27,F28)</f>
        <v>0</v>
      </c>
      <c r="G29" s="522">
        <f>IF(Zusatzeingaben!$K$18&gt;0,G27,G28)</f>
        <v>0</v>
      </c>
      <c r="H29" s="522">
        <f>IF(Zusatzeingaben!$K$18&gt;0,H27,H28)</f>
        <v>0</v>
      </c>
      <c r="I29" s="523">
        <f>IF(Zusatzeingaben!$K$18&gt;0,I27,I28)</f>
        <v>0</v>
      </c>
    </row>
    <row r="30" spans="1:11" hidden="1">
      <c r="A30" s="1341"/>
      <c r="B30" s="522">
        <f>Zusatzeingaben!C105</f>
        <v>0</v>
      </c>
      <c r="C30" s="522">
        <f>B30/B7</f>
        <v>0</v>
      </c>
      <c r="D30" s="522">
        <f>IF(D9=0,0,B30/B7)</f>
        <v>0</v>
      </c>
      <c r="E30" s="522">
        <f>IF(Zusatzeingaben!E33=0,0,B30/B7)</f>
        <v>0</v>
      </c>
      <c r="F30" s="522">
        <f>IF(Zusatzeingaben!F33=0,0,B30/B7)</f>
        <v>0</v>
      </c>
      <c r="G30" s="522">
        <f>IF(Zusatzeingaben!G33=0,0,B30/B7)</f>
        <v>0</v>
      </c>
      <c r="H30" s="522">
        <f>IF(Zusatzeingaben!H33=0,0,B30/B7)</f>
        <v>0</v>
      </c>
      <c r="I30" s="523">
        <f>IF(Zusatzeingaben!I33=0,0,B30/B7)</f>
        <v>0</v>
      </c>
    </row>
    <row r="31" spans="1:11" hidden="1">
      <c r="A31" s="1339"/>
      <c r="B31" s="522">
        <f>SUM(C31:I31)</f>
        <v>0</v>
      </c>
      <c r="C31" s="522">
        <f>C30</f>
        <v>0</v>
      </c>
      <c r="D31" s="522">
        <f>D30</f>
        <v>0</v>
      </c>
      <c r="E31" s="522">
        <f>IF(Zusatzeingaben!E8&gt;Zusatzeingaben!E2,E30*Zusatzeingaben!E14/30,IF(Zusatzeingaben!E18=25,E30*Zusatzeingaben!E10/30,E30))</f>
        <v>0</v>
      </c>
      <c r="F31" s="522">
        <f>IF(Zusatzeingaben!F8&gt;Zusatzeingaben!E2,F30*Zusatzeingaben!F14/30,IF(Zusatzeingaben!F18=25,F30*Zusatzeingaben!F10/30,F30))</f>
        <v>0</v>
      </c>
      <c r="G31" s="522">
        <f>IF(Zusatzeingaben!G8&gt;Zusatzeingaben!E2,G30*Zusatzeingaben!G14/30,IF(Zusatzeingaben!G18=25,G30*Zusatzeingaben!G10/30,G30))</f>
        <v>0</v>
      </c>
      <c r="H31" s="522">
        <f>IF(Zusatzeingaben!H8&gt;Zusatzeingaben!E2,H30*Zusatzeingaben!H14/30,IF(Zusatzeingaben!H18=25,H30*Zusatzeingaben!H10/30,H30))</f>
        <v>0</v>
      </c>
      <c r="I31" s="523">
        <f>IF(Zusatzeingaben!I8&gt;Zusatzeingaben!E2,I30*Zusatzeingaben!I14/30,IF(Zusatzeingaben!I18=25,I30*Zusatzeingaben!I10/30,I30))</f>
        <v>0</v>
      </c>
      <c r="K31" s="1338">
        <f>COUNTIF(C31:I31,C31)</f>
        <v>7</v>
      </c>
    </row>
    <row r="32" spans="1:11" hidden="1">
      <c r="A32" s="1341"/>
      <c r="B32" s="522">
        <f>SUM(C32:I32)</f>
        <v>0</v>
      </c>
      <c r="C32" s="522">
        <f>IF(AND(B31&lt;B30,C31=C30,C31&gt;0),C30+(B30-B31)/K31,C31)</f>
        <v>0</v>
      </c>
      <c r="D32" s="522">
        <f>IF(AND(B31&lt;B30,D31=D30,D31&gt;0),D30+(B30-B31)/K31,D31)</f>
        <v>0</v>
      </c>
      <c r="E32" s="522">
        <f>IF(AND(B31&lt;B30,E31=E30,E31&gt;0),E30+(B30-B31)/K31,E31)</f>
        <v>0</v>
      </c>
      <c r="F32" s="522">
        <f>IF(AND(B31&lt;B30,F31=F30,F31&gt;0),F30+(B30-B31)/K31,F31)</f>
        <v>0</v>
      </c>
      <c r="G32" s="522">
        <f>IF(AND(B31&lt;B30,G31=G30,G31&gt;0),G30+(B30-B31)/K31,G31)</f>
        <v>0</v>
      </c>
      <c r="H32" s="522">
        <f>IF(AND(B31&lt;B30,H31=H30,H31&gt;0),H30+(B30-B31)/K31,H31)</f>
        <v>0</v>
      </c>
      <c r="I32" s="523">
        <f>IF(AND(B31&lt;B30,I31=I30,I31&gt;0),I30+(B30-B31)/K31,I31)</f>
        <v>0</v>
      </c>
    </row>
    <row r="33" spans="1:11">
      <c r="A33" s="1339">
        <f>IF(B33&gt;0,Zusatzeingaben!A105,0)</f>
        <v>0</v>
      </c>
      <c r="B33" s="1335">
        <f>SUM(C33:I33)</f>
        <v>0</v>
      </c>
      <c r="C33" s="522">
        <f>IF(Zusatzeingaben!$K$18&gt;0,C31,C32)</f>
        <v>0</v>
      </c>
      <c r="D33" s="522">
        <f>IF(Zusatzeingaben!$K$18&gt;0,D31,D32)</f>
        <v>0</v>
      </c>
      <c r="E33" s="522">
        <f>IF(Zusatzeingaben!$K$18&gt;0,E31,E32)</f>
        <v>0</v>
      </c>
      <c r="F33" s="522">
        <f>IF(Zusatzeingaben!$K$18&gt;0,F31,F32)</f>
        <v>0</v>
      </c>
      <c r="G33" s="522">
        <f>IF(Zusatzeingaben!$K$18&gt;0,G31,G32)</f>
        <v>0</v>
      </c>
      <c r="H33" s="522">
        <f>IF(Zusatzeingaben!$K$18&gt;0,H31,H32)</f>
        <v>0</v>
      </c>
      <c r="I33" s="523">
        <f>IF(Zusatzeingaben!$K$18&gt;0,I31,I32)</f>
        <v>0</v>
      </c>
    </row>
    <row r="34" spans="1:11" hidden="1">
      <c r="A34" s="1341"/>
      <c r="B34" s="522">
        <f>Zusatzeingaben!C106</f>
        <v>0</v>
      </c>
      <c r="C34" s="522">
        <f>B34/B7</f>
        <v>0</v>
      </c>
      <c r="D34" s="522">
        <f>IF(D9=0,0,B34/B7)</f>
        <v>0</v>
      </c>
      <c r="E34" s="522">
        <f>IF(Zusatzeingaben!E33=0,0,B34/B7)</f>
        <v>0</v>
      </c>
      <c r="F34" s="522">
        <f>IF(Zusatzeingaben!F33=0,0,B34/B7)</f>
        <v>0</v>
      </c>
      <c r="G34" s="522">
        <f>IF(Zusatzeingaben!G33=0,0,B34/B7)</f>
        <v>0</v>
      </c>
      <c r="H34" s="522">
        <f>IF(Zusatzeingaben!H33=0,0,B34/B7)</f>
        <v>0</v>
      </c>
      <c r="I34" s="523">
        <f>IF(Zusatzeingaben!I33=0,0,B34/B7)</f>
        <v>0</v>
      </c>
    </row>
    <row r="35" spans="1:11" hidden="1">
      <c r="A35" s="1339"/>
      <c r="B35" s="522">
        <f t="shared" ref="B35:B42" si="0">SUM(C35:I35)</f>
        <v>0</v>
      </c>
      <c r="C35" s="522">
        <f>C34</f>
        <v>0</v>
      </c>
      <c r="D35" s="522">
        <f>D34</f>
        <v>0</v>
      </c>
      <c r="E35" s="522">
        <f>IF(Zusatzeingaben!E8&gt;Zusatzeingaben!E2,E34*Zusatzeingaben!E14/30,IF(Zusatzeingaben!E18=25,E34*Zusatzeingaben!E10/30,E34))</f>
        <v>0</v>
      </c>
      <c r="F35" s="522">
        <f>IF(Zusatzeingaben!F8&gt;Zusatzeingaben!E2,F34*Zusatzeingaben!F14/30,IF(Zusatzeingaben!F18=25,F34*Zusatzeingaben!F10/30,F34))</f>
        <v>0</v>
      </c>
      <c r="G35" s="522">
        <f>IF(Zusatzeingaben!G8&gt;Zusatzeingaben!E2,G34*Zusatzeingaben!G14/30,IF(Zusatzeingaben!G18=25,G34*Zusatzeingaben!G10/30,G34))</f>
        <v>0</v>
      </c>
      <c r="H35" s="522">
        <f>IF(Zusatzeingaben!H8&gt;Zusatzeingaben!E2,H34*Zusatzeingaben!H14/30,IF(Zusatzeingaben!H18=25,H34*Zusatzeingaben!H10/30,H34))</f>
        <v>0</v>
      </c>
      <c r="I35" s="523">
        <f>IF(Zusatzeingaben!I8&gt;Zusatzeingaben!E2,I34*Zusatzeingaben!I14/30,IF(Zusatzeingaben!I18=25,I34*Zusatzeingaben!I10/30,I34))</f>
        <v>0</v>
      </c>
      <c r="K35" s="1338">
        <f>COUNTIF(C35:I35,C35)</f>
        <v>7</v>
      </c>
    </row>
    <row r="36" spans="1:11" hidden="1">
      <c r="A36" s="1341"/>
      <c r="B36" s="522">
        <f t="shared" si="0"/>
        <v>0</v>
      </c>
      <c r="C36" s="522">
        <f>IF(AND(B35&lt;B34,C35=C34,C35&gt;0),C34+(B34-B35)/K35,C35)</f>
        <v>0</v>
      </c>
      <c r="D36" s="522">
        <f>IF(AND(B35&lt;B34,D35=D34,D35&gt;0),D34+(B34-B35)/K35,D35)</f>
        <v>0</v>
      </c>
      <c r="E36" s="522">
        <f>IF(AND(B35&lt;B34,E35=E34,E35&gt;0),E34+(B34-B35)/K35,E35)</f>
        <v>0</v>
      </c>
      <c r="F36" s="522">
        <f>IF(AND(B35&lt;B34,F35=F34,F35&gt;0),F34+(B34-B35)/K35,F35)</f>
        <v>0</v>
      </c>
      <c r="G36" s="522">
        <f>IF(AND(B35&lt;B34,G35=G34,G35&gt;0),G34+(B34-B35)/K35,G35)</f>
        <v>0</v>
      </c>
      <c r="H36" s="522">
        <f>IF(AND(B35&lt;B34,H35=H34,H35&gt;0),H34+(B34-B35)/K35,H35)</f>
        <v>0</v>
      </c>
      <c r="I36" s="523">
        <f>IF(AND(B35&lt;B34,I35=I34,I35&gt;0),I34+(B34-B35)/K35,I35)</f>
        <v>0</v>
      </c>
    </row>
    <row r="37" spans="1:11">
      <c r="A37" s="1339">
        <f>IF(B37&gt;0,Zusatzeingaben!A106,0)</f>
        <v>0</v>
      </c>
      <c r="B37" s="1335">
        <f t="shared" si="0"/>
        <v>0</v>
      </c>
      <c r="C37" s="522">
        <f>IF(Zusatzeingaben!$K$18&gt;0,C35,C36)</f>
        <v>0</v>
      </c>
      <c r="D37" s="522">
        <f>IF(Zusatzeingaben!$K$18&gt;0,D35,D36)</f>
        <v>0</v>
      </c>
      <c r="E37" s="522">
        <f>IF(Zusatzeingaben!$K$18&gt;0,E35,E36)</f>
        <v>0</v>
      </c>
      <c r="F37" s="522">
        <f>IF(Zusatzeingaben!$K$18&gt;0,F35,F36)</f>
        <v>0</v>
      </c>
      <c r="G37" s="522">
        <f>IF(Zusatzeingaben!$K$18&gt;0,G35,G36)</f>
        <v>0</v>
      </c>
      <c r="H37" s="522">
        <f>IF(Zusatzeingaben!$K$18&gt;0,H35,H36)</f>
        <v>0</v>
      </c>
      <c r="I37" s="523">
        <f>IF(Zusatzeingaben!$K$18&gt;0,I35,I36)</f>
        <v>0</v>
      </c>
    </row>
    <row r="38" spans="1:11" hidden="1">
      <c r="A38" s="1339"/>
      <c r="B38" s="522">
        <f t="shared" si="0"/>
        <v>0</v>
      </c>
      <c r="C38" s="522">
        <f>Zusatzeingaben!C114</f>
        <v>0</v>
      </c>
      <c r="D38" s="522">
        <f>Zusatzeingaben!D114</f>
        <v>0</v>
      </c>
      <c r="E38" s="522">
        <f>Zusatzeingaben!E114</f>
        <v>0</v>
      </c>
      <c r="F38" s="522">
        <f>Zusatzeingaben!F114</f>
        <v>0</v>
      </c>
      <c r="G38" s="522">
        <f>Zusatzeingaben!G114</f>
        <v>0</v>
      </c>
      <c r="H38" s="522">
        <f>Zusatzeingaben!H114</f>
        <v>0</v>
      </c>
      <c r="I38" s="523">
        <f>Zusatzeingaben!I114</f>
        <v>0</v>
      </c>
    </row>
    <row r="39" spans="1:11" hidden="1">
      <c r="A39" s="1339"/>
      <c r="B39" s="522">
        <f t="shared" si="0"/>
        <v>0</v>
      </c>
      <c r="C39" s="522">
        <f>C38</f>
        <v>0</v>
      </c>
      <c r="D39" s="522">
        <f>D38</f>
        <v>0</v>
      </c>
      <c r="E39" s="522">
        <f>IF(Zusatzeingaben!E8&gt;Zusatzeingaben!$E$2,E38*Zusatzeingaben!E14/30,IF(Zusatzeingaben!E18=25,E38*Zusatzeingaben!E10/30,E38))</f>
        <v>0</v>
      </c>
      <c r="F39" s="522">
        <f>IF(Zusatzeingaben!F8&gt;Zusatzeingaben!$E$2,F38*Zusatzeingaben!F14/30,IF(Zusatzeingaben!F18=25,F38*Zusatzeingaben!F10/30,F38))</f>
        <v>0</v>
      </c>
      <c r="G39" s="522">
        <f>IF(Zusatzeingaben!G8&gt;Zusatzeingaben!$E$2,G38*Zusatzeingaben!G14/30,IF(Zusatzeingaben!G18=25,G38*Zusatzeingaben!G10/30,G38))</f>
        <v>0</v>
      </c>
      <c r="H39" s="522">
        <f>IF(Zusatzeingaben!H8&gt;Zusatzeingaben!$E$2,H38*Zusatzeingaben!H14/30,IF(Zusatzeingaben!H18=25,H38*Zusatzeingaben!H10/30,H38))</f>
        <v>0</v>
      </c>
      <c r="I39" s="523">
        <f>IF(Zusatzeingaben!I8&gt;Zusatzeingaben!$E$2,I38*Zusatzeingaben!I14/30,IF(Zusatzeingaben!I18=25,I38*Zusatzeingaben!I10/30,I38))</f>
        <v>0</v>
      </c>
      <c r="K39" s="1338">
        <f>COUNTIF(C39:I39,C39)</f>
        <v>7</v>
      </c>
    </row>
    <row r="40" spans="1:11" hidden="1">
      <c r="A40" s="1339"/>
      <c r="B40" s="522">
        <f t="shared" si="0"/>
        <v>0</v>
      </c>
      <c r="C40" s="522">
        <f>IF(AND(B39&lt;B38,C39=C38,C39&gt;0),C38+(B38-B39)/K39,C39)</f>
        <v>0</v>
      </c>
      <c r="D40" s="522">
        <f>IF(AND(B39&lt;B38,D39=D38,D39&gt;0),D38+(B38-B39)/K39,D39)</f>
        <v>0</v>
      </c>
      <c r="E40" s="522">
        <f>IF(AND(B39&lt;B38,E39=E38,E39&gt;0),E38+(B38-B39)/K39,E39)</f>
        <v>0</v>
      </c>
      <c r="F40" s="522">
        <f>IF(AND(B39&lt;B38,F39=F38,F39&gt;0),F38+(B38-B39)/K39,F39)</f>
        <v>0</v>
      </c>
      <c r="G40" s="522">
        <f>IF(AND(B39&lt;B38,G39=G38,G39&gt;0),G38+(B38-B39)/K39,G39)</f>
        <v>0</v>
      </c>
      <c r="H40" s="522">
        <f>IF(AND(B39&lt;B38,H39=H38,H39&gt;0),H38+(B38-B39)/K39,H39)</f>
        <v>0</v>
      </c>
      <c r="I40" s="523">
        <f>IF(AND(B39&lt;B38,I39=I38,I39&gt;0),I38+(B38-B39)/K39,I39)</f>
        <v>0</v>
      </c>
    </row>
    <row r="41" spans="1:11" hidden="1">
      <c r="A41" s="1341"/>
      <c r="B41" s="522">
        <f t="shared" si="0"/>
        <v>0</v>
      </c>
      <c r="C41" s="522">
        <f>IF(Zusatzeingaben!$B$107&gt;0,C40,Zusatzeingaben!C114)</f>
        <v>0</v>
      </c>
      <c r="D41" s="522">
        <f>IF(Zusatzeingaben!$B$107&gt;0,D40,Zusatzeingaben!D114)</f>
        <v>0</v>
      </c>
      <c r="E41" s="522">
        <f>IF(Zusatzeingaben!$B$107&gt;0,E40,Zusatzeingaben!E114)</f>
        <v>0</v>
      </c>
      <c r="F41" s="522">
        <f>IF(Zusatzeingaben!$B$107&gt;0,F40,Zusatzeingaben!F114)</f>
        <v>0</v>
      </c>
      <c r="G41" s="522">
        <f>IF(Zusatzeingaben!$B$107&gt;0,G40,Zusatzeingaben!G114)</f>
        <v>0</v>
      </c>
      <c r="H41" s="522">
        <f>IF(Zusatzeingaben!$B$107&gt;0,H40,Zusatzeingaben!H114)</f>
        <v>0</v>
      </c>
      <c r="I41" s="523">
        <f>IF(Zusatzeingaben!$B$107&gt;0,I40,Zusatzeingaben!I114)</f>
        <v>0</v>
      </c>
    </row>
    <row r="42" spans="1:11">
      <c r="A42" s="1339">
        <f>IF(B42&gt;0,"./. Kostenanteil für Haushaltsstrom",0)</f>
        <v>0</v>
      </c>
      <c r="B42" s="1335">
        <f t="shared" si="0"/>
        <v>0</v>
      </c>
      <c r="C42" s="522">
        <f>IF(AND(Zusatzeingaben!$K$18&gt;0,Zusatzeingaben!$B$107&gt;0),C39,C41)</f>
        <v>0</v>
      </c>
      <c r="D42" s="522">
        <f>IF(AND(Zusatzeingaben!$K$18&gt;0,Zusatzeingaben!$B$107&gt;0),D39,D41)</f>
        <v>0</v>
      </c>
      <c r="E42" s="522">
        <f>IF(AND(Zusatzeingaben!$K$18&gt;0,Zusatzeingaben!$B$107&gt;0),E39,E41)</f>
        <v>0</v>
      </c>
      <c r="F42" s="522">
        <f>IF(AND(Zusatzeingaben!$K$18&gt;0,Zusatzeingaben!$B$107&gt;0),F39,F41)</f>
        <v>0</v>
      </c>
      <c r="G42" s="522">
        <f>IF(AND(Zusatzeingaben!$K$18&gt;0,Zusatzeingaben!$B$107&gt;0),G39,G41)</f>
        <v>0</v>
      </c>
      <c r="H42" s="522">
        <f>IF(AND(Zusatzeingaben!$K$18&gt;0,Zusatzeingaben!$B$107&gt;0),H39,H41)</f>
        <v>0</v>
      </c>
      <c r="I42" s="523">
        <f>IF(AND(Zusatzeingaben!$K$18&gt;0,Zusatzeingaben!$B$107&gt;0),I39,I41)</f>
        <v>0</v>
      </c>
    </row>
    <row r="43" spans="1:11" hidden="1">
      <c r="A43" s="1341"/>
      <c r="B43" s="522">
        <f>Zusatzeingaben!C115</f>
        <v>0</v>
      </c>
      <c r="C43" s="522">
        <f>B43/B7</f>
        <v>0</v>
      </c>
      <c r="D43" s="522">
        <f>IF(D9=0,0,B43/B7)</f>
        <v>0</v>
      </c>
      <c r="E43" s="522">
        <f>IF(Zusatzeingaben!E33=0,0,B43/B7)</f>
        <v>0</v>
      </c>
      <c r="F43" s="522">
        <f>IF(Zusatzeingaben!F33=0,0,B43/B7)</f>
        <v>0</v>
      </c>
      <c r="G43" s="522">
        <f>IF(Zusatzeingaben!G33=0,0,B43/B7)</f>
        <v>0</v>
      </c>
      <c r="H43" s="522">
        <f>IF(Zusatzeingaben!H33=0,0,B43/B7)</f>
        <v>0</v>
      </c>
      <c r="I43" s="523">
        <f>IF(Zusatzeingaben!I33=0,0,B43/B7)</f>
        <v>0</v>
      </c>
    </row>
    <row r="44" spans="1:11" hidden="1">
      <c r="A44" s="1339"/>
      <c r="B44" s="522">
        <f>SUM(C44:I44)</f>
        <v>0</v>
      </c>
      <c r="C44" s="522">
        <f>C43</f>
        <v>0</v>
      </c>
      <c r="D44" s="522">
        <f>D43</f>
        <v>0</v>
      </c>
      <c r="E44" s="522">
        <f>IF(Zusatzeingaben!E8&gt;Zusatzeingaben!E2,E43*Zusatzeingaben!E14/30,IF(Zusatzeingaben!E18=25,E43*Zusatzeingaben!E10/30,E43))</f>
        <v>0</v>
      </c>
      <c r="F44" s="522">
        <f>IF(Zusatzeingaben!F8&gt;Zusatzeingaben!E2,F43*Zusatzeingaben!F14/30,IF(Zusatzeingaben!F18=25,F43*Zusatzeingaben!F10/30,F43))</f>
        <v>0</v>
      </c>
      <c r="G44" s="522">
        <f>IF(Zusatzeingaben!G8&gt;Zusatzeingaben!E2,G43*Zusatzeingaben!G14/30,IF(Zusatzeingaben!G18=25,G43*Zusatzeingaben!G10/30,G43))</f>
        <v>0</v>
      </c>
      <c r="H44" s="522">
        <f>IF(Zusatzeingaben!H8&gt;Zusatzeingaben!E2,H43*Zusatzeingaben!H14/30,IF(Zusatzeingaben!H18=25,H43*Zusatzeingaben!H10/30,H43))</f>
        <v>0</v>
      </c>
      <c r="I44" s="523">
        <f>IF(Zusatzeingaben!I8&gt;Zusatzeingaben!E2,I43*Zusatzeingaben!I14/30,IF(Zusatzeingaben!I18=25,I43*Zusatzeingaben!I10/30,I43))</f>
        <v>0</v>
      </c>
      <c r="K44" s="1338">
        <f>COUNTIF(C44:I44,C44)</f>
        <v>7</v>
      </c>
    </row>
    <row r="45" spans="1:11" hidden="1">
      <c r="A45" s="1341"/>
      <c r="B45" s="522">
        <f>SUM(C45:I45)</f>
        <v>0</v>
      </c>
      <c r="C45" s="522">
        <f>IF(AND(B44&lt;B43,C44=C43,C44&gt;0),C43+(B43-B44)/K44,C44)</f>
        <v>0</v>
      </c>
      <c r="D45" s="522">
        <f>IF(AND(B44&lt;B43,D44=D43,D44&gt;0),D43+(B43-B44)/K44,D44)</f>
        <v>0</v>
      </c>
      <c r="E45" s="522">
        <f>IF(AND(B44&lt;B43,E44=E43,E44&gt;0),E43+(B43-B44)/K44,E44)</f>
        <v>0</v>
      </c>
      <c r="F45" s="522">
        <f>IF(AND(B44&lt;B43,F44=F43,F44&gt;0),F43+(B43-B44)/K44,F44)</f>
        <v>0</v>
      </c>
      <c r="G45" s="522">
        <f>IF(AND(B44&lt;B43,G44=G43,G44&gt;0),G43+(B43-B44)/K44,G44)</f>
        <v>0</v>
      </c>
      <c r="H45" s="522">
        <f>IF(AND(B44&lt;B43,H44=H43,H44&gt;0),H43+(B43-B44)/K44,H44)</f>
        <v>0</v>
      </c>
      <c r="I45" s="523">
        <f>IF(AND(B44&lt;B43,I44=I43,I44&gt;0),I43+(B43-B44)/K44,I44)</f>
        <v>0</v>
      </c>
    </row>
    <row r="46" spans="1:11">
      <c r="A46" s="1339">
        <f>IF(B46&gt;0,"Heizkosten",0)</f>
        <v>0</v>
      </c>
      <c r="B46" s="1335">
        <f>SUM(C46:I46)</f>
        <v>0</v>
      </c>
      <c r="C46" s="522">
        <f>IF(Zusatzeingaben!$K$18&gt;0,C44,C45)</f>
        <v>0</v>
      </c>
      <c r="D46" s="522">
        <f>IF(Zusatzeingaben!$K$18&gt;0,D44,D45)</f>
        <v>0</v>
      </c>
      <c r="E46" s="522">
        <f>IF(Zusatzeingaben!$K$18&gt;0,E44,E45)</f>
        <v>0</v>
      </c>
      <c r="F46" s="522">
        <f>IF(Zusatzeingaben!$K$18&gt;0,F44,F45)</f>
        <v>0</v>
      </c>
      <c r="G46" s="522">
        <f>IF(Zusatzeingaben!$K$18&gt;0,G44,G45)</f>
        <v>0</v>
      </c>
      <c r="H46" s="522">
        <f>IF(Zusatzeingaben!$K$18&gt;0,H44,H45)</f>
        <v>0</v>
      </c>
      <c r="I46" s="523">
        <f>IF(Zusatzeingaben!$K$18&gt;0,I44,I45)</f>
        <v>0</v>
      </c>
    </row>
    <row r="47" spans="1:11" hidden="1">
      <c r="A47" s="1342" t="s">
        <v>2165</v>
      </c>
      <c r="B47" s="1343">
        <f t="shared" ref="B47:I47" si="1">B24-B29+B33+B37-B42+B46</f>
        <v>0</v>
      </c>
      <c r="C47" s="1343">
        <f t="shared" si="1"/>
        <v>0</v>
      </c>
      <c r="D47" s="1343">
        <f t="shared" si="1"/>
        <v>0</v>
      </c>
      <c r="E47" s="1343">
        <f t="shared" si="1"/>
        <v>0</v>
      </c>
      <c r="F47" s="1343">
        <f t="shared" si="1"/>
        <v>0</v>
      </c>
      <c r="G47" s="1343">
        <f t="shared" si="1"/>
        <v>0</v>
      </c>
      <c r="H47" s="1343">
        <f t="shared" si="1"/>
        <v>0</v>
      </c>
      <c r="I47" s="1344">
        <f t="shared" si="1"/>
        <v>0</v>
      </c>
    </row>
    <row r="48" spans="1:11" ht="17.25" customHeight="1">
      <c r="A48" s="1345">
        <f>IF(B49&gt;0,"Sonstiger Bedarf",0)</f>
        <v>0</v>
      </c>
      <c r="B48" s="1346"/>
      <c r="C48" s="1347"/>
      <c r="D48" s="1347"/>
      <c r="E48" s="1347"/>
      <c r="F48" s="1347"/>
      <c r="G48" s="1347"/>
      <c r="H48" s="1347"/>
      <c r="I48" s="1348"/>
    </row>
    <row r="49" spans="1:9" ht="16.5" customHeight="1">
      <c r="A49" s="1349">
        <f>IF(B49&gt;0,Zusatzeingaben!A117,0)</f>
        <v>0</v>
      </c>
      <c r="B49" s="1350">
        <f>SUM(C49:I49)</f>
        <v>0</v>
      </c>
      <c r="C49" s="1351">
        <f>Zusatzeingaben!C117</f>
        <v>0</v>
      </c>
      <c r="D49" s="1351">
        <f>Zusatzeingaben!D117</f>
        <v>0</v>
      </c>
      <c r="E49" s="1351">
        <f>Zusatzeingaben!E117</f>
        <v>0</v>
      </c>
      <c r="F49" s="1351">
        <f>Zusatzeingaben!F117</f>
        <v>0</v>
      </c>
      <c r="G49" s="1351">
        <f>Zusatzeingaben!G117</f>
        <v>0</v>
      </c>
      <c r="H49" s="1351">
        <f>Zusatzeingaben!H117</f>
        <v>0</v>
      </c>
      <c r="I49" s="1352">
        <f>Zusatzeingaben!I117</f>
        <v>0</v>
      </c>
    </row>
    <row r="50" spans="1:9" ht="23.25" customHeight="1">
      <c r="A50" s="1353" t="s">
        <v>2166</v>
      </c>
      <c r="B50" s="1354">
        <f>SUM(C50:I50)</f>
        <v>449</v>
      </c>
      <c r="C50" s="1354">
        <f t="shared" ref="C50:I50" si="2">C11+C13+C14+C15+C16+C17+C18+C19+C47+C49</f>
        <v>449</v>
      </c>
      <c r="D50" s="1354">
        <f t="shared" si="2"/>
        <v>0</v>
      </c>
      <c r="E50" s="1354">
        <f t="shared" si="2"/>
        <v>0</v>
      </c>
      <c r="F50" s="1354">
        <f t="shared" si="2"/>
        <v>0</v>
      </c>
      <c r="G50" s="1354">
        <f t="shared" si="2"/>
        <v>0</v>
      </c>
      <c r="H50" s="1354">
        <f t="shared" si="2"/>
        <v>0</v>
      </c>
      <c r="I50" s="1355">
        <f t="shared" si="2"/>
        <v>0</v>
      </c>
    </row>
    <row r="51" spans="1:9" ht="21" customHeight="1">
      <c r="C51" s="966">
        <f>VLOOKUP(E3,Bedarfssätze!B7:C14,2)</f>
        <v>391</v>
      </c>
      <c r="D51" s="966">
        <f>VLOOKUP(E3,Bedarfssätze!E7:F14,2)</f>
        <v>353</v>
      </c>
      <c r="E51" s="966">
        <f>VLOOKUP(E3,Bedarfssätze!B26:C33,2)</f>
        <v>296</v>
      </c>
      <c r="F51" s="966">
        <f>VLOOKUP(E3,Bedarfssätze!E26:F33,2)</f>
        <v>261</v>
      </c>
      <c r="G51" s="966">
        <f>VLOOKUP(E3,Bedarfssätze!H26:I33,2)</f>
        <v>229</v>
      </c>
      <c r="H51" s="966">
        <f>VLOOKUP(E3,Bedarfssätze!H7:I14,2)</f>
        <v>313</v>
      </c>
    </row>
    <row r="52" spans="1:9" ht="23.25">
      <c r="A52" s="1319"/>
      <c r="B52" s="1320" t="s">
        <v>175</v>
      </c>
      <c r="C52" s="1316"/>
      <c r="D52" s="1316"/>
      <c r="E52" s="1316"/>
      <c r="F52" s="1316"/>
      <c r="G52" s="1316"/>
      <c r="H52" s="1316"/>
      <c r="I52" s="1321"/>
    </row>
    <row r="53" spans="1:9" ht="17.25" customHeight="1">
      <c r="A53" s="839"/>
      <c r="B53" s="1322" t="s">
        <v>246</v>
      </c>
      <c r="C53" s="1322" t="str">
        <f>Zusatzeingaben!C4</f>
        <v>Antragsteller</v>
      </c>
      <c r="D53" s="1322" t="str">
        <f>Zusatzeingaben!D4</f>
        <v>Partner(in)</v>
      </c>
      <c r="E53" s="1322" t="str">
        <f>Zusatzeingaben!E4</f>
        <v>Kind 1</v>
      </c>
      <c r="F53" s="1322" t="s">
        <v>145</v>
      </c>
      <c r="G53" s="1322" t="s">
        <v>146</v>
      </c>
      <c r="H53" s="1322" t="s">
        <v>147</v>
      </c>
      <c r="I53" s="1323" t="s">
        <v>148</v>
      </c>
    </row>
    <row r="54" spans="1:9">
      <c r="A54" s="1345" t="s">
        <v>2167</v>
      </c>
      <c r="B54" s="1356">
        <f t="shared" ref="B54:B68" si="3">SUM(C54:I54)</f>
        <v>0</v>
      </c>
      <c r="C54" s="1346">
        <f>Zusatzeingaben!C140+einmaligesEK!C14</f>
        <v>0</v>
      </c>
      <c r="D54" s="1346">
        <f>Zusatzeingaben!D140+einmaligesEK!D14</f>
        <v>0</v>
      </c>
      <c r="E54" s="1346">
        <f>Zusatzeingaben!E140+einmaligesEK!E14</f>
        <v>0</v>
      </c>
      <c r="F54" s="1346">
        <f>Zusatzeingaben!F140+einmaligesEK!F14</f>
        <v>0</v>
      </c>
      <c r="G54" s="1346">
        <f>Zusatzeingaben!G140+einmaligesEK!G14</f>
        <v>0</v>
      </c>
      <c r="H54" s="1346">
        <f>Zusatzeingaben!H140+einmaligesEK!H14</f>
        <v>0</v>
      </c>
      <c r="I54" s="1346">
        <f>Zusatzeingaben!I140+einmaligesEK!I14</f>
        <v>0</v>
      </c>
    </row>
    <row r="55" spans="1:9">
      <c r="A55" s="1544">
        <f>IF(B55&gt;0,"Nettolohn/Einmalzahlung",0)</f>
        <v>0</v>
      </c>
      <c r="B55" s="1335">
        <f t="shared" si="3"/>
        <v>0</v>
      </c>
      <c r="C55" s="522">
        <f>Zusatzeingaben!C133+einmaligesEK!C15</f>
        <v>0</v>
      </c>
      <c r="D55" s="522">
        <f>Zusatzeingaben!D133+einmaligesEK!D15</f>
        <v>0</v>
      </c>
      <c r="E55" s="522">
        <f>Zusatzeingaben!E133+einmaligesEK!E15</f>
        <v>0</v>
      </c>
      <c r="F55" s="522">
        <f>Zusatzeingaben!F133+einmaligesEK!F15</f>
        <v>0</v>
      </c>
      <c r="G55" s="522">
        <f>Zusatzeingaben!G133+einmaligesEK!G15</f>
        <v>0</v>
      </c>
      <c r="H55" s="522">
        <f>Zusatzeingaben!H133+einmaligesEK!H15</f>
        <v>0</v>
      </c>
      <c r="I55" s="522">
        <f>Zusatzeingaben!I133+einmaligesEK!I15</f>
        <v>0</v>
      </c>
    </row>
    <row r="56" spans="1:9">
      <c r="A56" s="976">
        <f>IF(B56&gt;0,"Ausbildungsvergütung (netto)",0)</f>
        <v>0</v>
      </c>
      <c r="B56" s="1335">
        <f t="shared" si="3"/>
        <v>0</v>
      </c>
      <c r="C56" s="522">
        <f>Zusatzeingaben!C137</f>
        <v>0</v>
      </c>
      <c r="D56" s="522">
        <f>Zusatzeingaben!D137</f>
        <v>0</v>
      </c>
      <c r="E56" s="522">
        <f>Zusatzeingaben!E137</f>
        <v>0</v>
      </c>
      <c r="F56" s="522">
        <f>Zusatzeingaben!F137</f>
        <v>0</v>
      </c>
      <c r="G56" s="522">
        <f>Zusatzeingaben!G137</f>
        <v>0</v>
      </c>
      <c r="H56" s="522">
        <f>Zusatzeingaben!H137</f>
        <v>0</v>
      </c>
      <c r="I56" s="523">
        <f>Zusatzeingaben!I137</f>
        <v>0</v>
      </c>
    </row>
    <row r="57" spans="1:9">
      <c r="A57" s="976">
        <f>IF(B57&gt;0,Zusatzeingaben!A139,0)</f>
        <v>0</v>
      </c>
      <c r="B57" s="1335">
        <f t="shared" si="3"/>
        <v>0</v>
      </c>
      <c r="C57" s="522">
        <f>Zusatzeingaben!C139</f>
        <v>0</v>
      </c>
      <c r="D57" s="522">
        <f>Zusatzeingaben!D139</f>
        <v>0</v>
      </c>
      <c r="E57" s="522">
        <f>Zusatzeingaben!E139</f>
        <v>0</v>
      </c>
      <c r="F57" s="522">
        <f>Zusatzeingaben!F139</f>
        <v>0</v>
      </c>
      <c r="G57" s="522">
        <f>Zusatzeingaben!G139</f>
        <v>0</v>
      </c>
      <c r="H57" s="522">
        <f>Zusatzeingaben!H139</f>
        <v>0</v>
      </c>
      <c r="I57" s="523">
        <f>Zusatzeingaben!I139</f>
        <v>0</v>
      </c>
    </row>
    <row r="58" spans="1:9">
      <c r="A58" s="976">
        <f>IF(B58&gt;0,"steuerfreie Einnahmen Ehrenamt o.ä.",0)</f>
        <v>0</v>
      </c>
      <c r="B58" s="1335">
        <f t="shared" si="3"/>
        <v>0</v>
      </c>
      <c r="C58" s="522">
        <f>Zusatzeingaben!C138</f>
        <v>0</v>
      </c>
      <c r="D58" s="522">
        <f>Zusatzeingaben!D138</f>
        <v>0</v>
      </c>
      <c r="E58" s="522">
        <f>Zusatzeingaben!E138</f>
        <v>0</v>
      </c>
      <c r="F58" s="522">
        <f>Zusatzeingaben!F138</f>
        <v>0</v>
      </c>
      <c r="G58" s="522">
        <f>Zusatzeingaben!G138</f>
        <v>0</v>
      </c>
      <c r="H58" s="522">
        <f>Zusatzeingaben!H138</f>
        <v>0</v>
      </c>
      <c r="I58" s="523">
        <f>Zusatzeingaben!I138</f>
        <v>0</v>
      </c>
    </row>
    <row r="59" spans="1:9">
      <c r="A59" s="976">
        <f>IF(B59&gt;0,"Einkommen aus Freiwilligendienste",0)</f>
        <v>0</v>
      </c>
      <c r="B59" s="1335">
        <f t="shared" si="3"/>
        <v>0</v>
      </c>
      <c r="C59" s="522">
        <f>Zusatzeingaben!C170</f>
        <v>0</v>
      </c>
      <c r="D59" s="522">
        <f>Zusatzeingaben!D170</f>
        <v>0</v>
      </c>
      <c r="E59" s="522">
        <f>Zusatzeingaben!E170</f>
        <v>0</v>
      </c>
      <c r="F59" s="522">
        <f>Zusatzeingaben!F170</f>
        <v>0</v>
      </c>
      <c r="G59" s="522">
        <f>Zusatzeingaben!G170</f>
        <v>0</v>
      </c>
      <c r="H59" s="522">
        <f>Zusatzeingaben!H170</f>
        <v>0</v>
      </c>
      <c r="I59" s="523">
        <f>Zusatzeingaben!I170</f>
        <v>0</v>
      </c>
    </row>
    <row r="60" spans="1:9">
      <c r="A60" s="976">
        <f>IF(B60&gt;0,"Elterngeld",0)</f>
        <v>0</v>
      </c>
      <c r="B60" s="1335">
        <f t="shared" si="3"/>
        <v>0</v>
      </c>
      <c r="C60" s="522">
        <f>Zusatzeingaben!C174</f>
        <v>0</v>
      </c>
      <c r="D60" s="522">
        <f>Zusatzeingaben!D174</f>
        <v>0</v>
      </c>
      <c r="E60" s="522"/>
      <c r="F60" s="522"/>
      <c r="G60" s="522"/>
      <c r="H60" s="522"/>
      <c r="I60" s="523"/>
    </row>
    <row r="61" spans="1:9">
      <c r="A61" s="976">
        <f>IF(B61&gt;0,Zusatzeingaben!A180,0)</f>
        <v>0</v>
      </c>
      <c r="B61" s="1335">
        <f t="shared" si="3"/>
        <v>0</v>
      </c>
      <c r="C61" s="522">
        <f>Zusatzeingaben!C180</f>
        <v>0</v>
      </c>
      <c r="D61" s="522">
        <f>Zusatzeingaben!D180</f>
        <v>0</v>
      </c>
      <c r="E61" s="522">
        <f>Zusatzeingaben!E180</f>
        <v>0</v>
      </c>
      <c r="F61" s="522">
        <f>Zusatzeingaben!F180</f>
        <v>0</v>
      </c>
      <c r="G61" s="522"/>
      <c r="H61" s="522"/>
      <c r="I61" s="523"/>
    </row>
    <row r="62" spans="1:9">
      <c r="A62" s="976">
        <f>IF(B62&gt;0,"Kindergeld",0)</f>
        <v>0</v>
      </c>
      <c r="B62" s="1335">
        <f t="shared" si="3"/>
        <v>0</v>
      </c>
      <c r="C62" s="522">
        <f>Zusatzeingaben!C192</f>
        <v>0</v>
      </c>
      <c r="D62" s="522">
        <f>Zusatzeingaben!D192</f>
        <v>0</v>
      </c>
      <c r="E62" s="522">
        <f>Zusatzeingaben!E192</f>
        <v>0</v>
      </c>
      <c r="F62" s="522">
        <f>Zusatzeingaben!F192</f>
        <v>0</v>
      </c>
      <c r="G62" s="522">
        <f>Zusatzeingaben!G192</f>
        <v>0</v>
      </c>
      <c r="H62" s="522">
        <f>Zusatzeingaben!H192</f>
        <v>0</v>
      </c>
      <c r="I62" s="523">
        <f>Zusatzeingaben!I192</f>
        <v>0</v>
      </c>
    </row>
    <row r="63" spans="1:9">
      <c r="A63" s="976">
        <f>IF(B63&gt;0,"Unterhalt/Unterhaltsvorschuss",0)</f>
        <v>0</v>
      </c>
      <c r="B63" s="1335">
        <f t="shared" si="3"/>
        <v>0</v>
      </c>
      <c r="C63" s="522">
        <f>Zusatzeingaben!C195</f>
        <v>0</v>
      </c>
      <c r="D63" s="522">
        <f>Zusatzeingaben!D195</f>
        <v>0</v>
      </c>
      <c r="E63" s="522">
        <f>Zusatzeingaben!E195</f>
        <v>0</v>
      </c>
      <c r="F63" s="522">
        <f>Zusatzeingaben!F195</f>
        <v>0</v>
      </c>
      <c r="G63" s="522">
        <f>Zusatzeingaben!G195</f>
        <v>0</v>
      </c>
      <c r="H63" s="522">
        <f>Zusatzeingaben!H195</f>
        <v>0</v>
      </c>
      <c r="I63" s="523">
        <f>Zusatzeingaben!I195</f>
        <v>0</v>
      </c>
    </row>
    <row r="64" spans="1:9">
      <c r="A64" s="976">
        <f>IF(B64&gt;0,Zusatzeingaben!A196,0)</f>
        <v>0</v>
      </c>
      <c r="B64" s="1335">
        <f t="shared" si="3"/>
        <v>0</v>
      </c>
      <c r="C64" s="522">
        <f>Zusatzeingaben!C196</f>
        <v>0</v>
      </c>
      <c r="D64" s="522">
        <f>Zusatzeingaben!D196</f>
        <v>0</v>
      </c>
      <c r="E64" s="522">
        <f>Zusatzeingaben!E196</f>
        <v>0</v>
      </c>
      <c r="F64" s="522">
        <f>Zusatzeingaben!F196</f>
        <v>0</v>
      </c>
      <c r="G64" s="522">
        <f>Zusatzeingaben!G196</f>
        <v>0</v>
      </c>
      <c r="H64" s="522">
        <f>Zusatzeingaben!H196</f>
        <v>0</v>
      </c>
      <c r="I64" s="523">
        <f>Zusatzeingaben!I196</f>
        <v>0</v>
      </c>
    </row>
    <row r="65" spans="1:9">
      <c r="A65" s="976">
        <f>IF(B65&gt;0,"Altersrente",0)</f>
        <v>0</v>
      </c>
      <c r="B65" s="1335">
        <f t="shared" si="3"/>
        <v>0</v>
      </c>
      <c r="C65" s="522">
        <f>Zusatzeingaben!C197</f>
        <v>0</v>
      </c>
      <c r="D65" s="522">
        <f>Zusatzeingaben!D197</f>
        <v>0</v>
      </c>
      <c r="E65" s="522">
        <f>Zusatzeingaben!E197</f>
        <v>0</v>
      </c>
      <c r="F65" s="522">
        <f>Zusatzeingaben!F197</f>
        <v>0</v>
      </c>
      <c r="G65" s="522">
        <f>Zusatzeingaben!G197</f>
        <v>0</v>
      </c>
      <c r="H65" s="522">
        <f>Zusatzeingaben!H197</f>
        <v>0</v>
      </c>
      <c r="I65" s="523">
        <f>Zusatzeingaben!I197</f>
        <v>0</v>
      </c>
    </row>
    <row r="66" spans="1:9">
      <c r="A66" s="976">
        <f>IF(B66&gt;0,Zusatzeingaben!A198,0)</f>
        <v>0</v>
      </c>
      <c r="B66" s="1335">
        <f t="shared" si="3"/>
        <v>0</v>
      </c>
      <c r="C66" s="522">
        <f>Zusatzeingaben!C198</f>
        <v>0</v>
      </c>
      <c r="D66" s="522">
        <f>Zusatzeingaben!D198</f>
        <v>0</v>
      </c>
      <c r="E66" s="522">
        <f>Zusatzeingaben!E198</f>
        <v>0</v>
      </c>
      <c r="F66" s="522">
        <f>Zusatzeingaben!F198</f>
        <v>0</v>
      </c>
      <c r="G66" s="522">
        <f>Zusatzeingaben!G198</f>
        <v>0</v>
      </c>
      <c r="H66" s="522">
        <f>Zusatzeingaben!H198</f>
        <v>0</v>
      </c>
      <c r="I66" s="523">
        <f>Zusatzeingaben!I198</f>
        <v>0</v>
      </c>
    </row>
    <row r="67" spans="1:9" hidden="1">
      <c r="A67" s="976"/>
      <c r="B67" s="1335">
        <f t="shared" si="3"/>
        <v>0</v>
      </c>
      <c r="C67" s="522"/>
      <c r="D67" s="522"/>
      <c r="E67" s="522"/>
      <c r="F67" s="522"/>
      <c r="G67" s="522"/>
      <c r="H67" s="522"/>
      <c r="I67" s="523"/>
    </row>
    <row r="68" spans="1:9" ht="16.5" customHeight="1">
      <c r="A68" s="1022">
        <f>IF(B68&gt;0,"sonst. EK/Einmalzahlung",0)</f>
        <v>0</v>
      </c>
      <c r="B68" s="1357">
        <f t="shared" si="3"/>
        <v>0</v>
      </c>
      <c r="C68" s="1024">
        <f>Zusatzeingaben!C199+einmaligesEK!C11</f>
        <v>0</v>
      </c>
      <c r="D68" s="1024">
        <f>Zusatzeingaben!D199+einmaligesEK!D11</f>
        <v>0</v>
      </c>
      <c r="E68" s="1024">
        <f>Zusatzeingaben!E199+einmaligesEK!E11</f>
        <v>0</v>
      </c>
      <c r="F68" s="1024">
        <f>Zusatzeingaben!F199+einmaligesEK!F11</f>
        <v>0</v>
      </c>
      <c r="G68" s="1024">
        <f>Zusatzeingaben!G199+einmaligesEK!G11</f>
        <v>0</v>
      </c>
      <c r="H68" s="1024">
        <f>Zusatzeingaben!H199+einmaligesEK!H11</f>
        <v>0</v>
      </c>
      <c r="I68" s="1024">
        <f>Zusatzeingaben!I199+einmaligesEK!I11</f>
        <v>0</v>
      </c>
    </row>
    <row r="69" spans="1:9" hidden="1">
      <c r="A69" s="1248"/>
      <c r="B69" s="1358"/>
      <c r="C69" s="634">
        <f t="shared" ref="C69:I69" si="4">SUM(C60:C68)</f>
        <v>0</v>
      </c>
      <c r="D69" s="634">
        <f t="shared" si="4"/>
        <v>0</v>
      </c>
      <c r="E69" s="634">
        <f t="shared" si="4"/>
        <v>0</v>
      </c>
      <c r="F69" s="634">
        <f t="shared" si="4"/>
        <v>0</v>
      </c>
      <c r="G69" s="634">
        <f t="shared" si="4"/>
        <v>0</v>
      </c>
      <c r="H69" s="634">
        <f t="shared" si="4"/>
        <v>0</v>
      </c>
      <c r="I69" s="635">
        <f t="shared" si="4"/>
        <v>0</v>
      </c>
    </row>
    <row r="70" spans="1:9">
      <c r="A70" s="1359" t="s">
        <v>208</v>
      </c>
      <c r="B70" s="1360">
        <f>SUM(C70:I70)</f>
        <v>0</v>
      </c>
      <c r="C70" s="1031">
        <f t="shared" ref="C70:I70" si="5">SUM(C55:C68)</f>
        <v>0</v>
      </c>
      <c r="D70" s="1031">
        <f t="shared" si="5"/>
        <v>0</v>
      </c>
      <c r="E70" s="1031">
        <f t="shared" si="5"/>
        <v>0</v>
      </c>
      <c r="F70" s="1031">
        <f t="shared" si="5"/>
        <v>0</v>
      </c>
      <c r="G70" s="1031">
        <f t="shared" si="5"/>
        <v>0</v>
      </c>
      <c r="H70" s="1031">
        <f t="shared" si="5"/>
        <v>0</v>
      </c>
      <c r="I70" s="1032">
        <f t="shared" si="5"/>
        <v>0</v>
      </c>
    </row>
    <row r="71" spans="1:9" ht="16.5" hidden="1" customHeight="1">
      <c r="A71" s="1341"/>
      <c r="B71" s="522"/>
      <c r="C71" s="507">
        <f>IF(AND(Zusatzeingaben!C161&gt;0,Zusatzeingaben!C164=Zusatzeingaben!C161),0,Zusatzeingaben!C203)</f>
        <v>0</v>
      </c>
      <c r="D71" s="507">
        <f>IF(AND(Zusatzeingaben!D161&gt;0,Zusatzeingaben!D164=Zusatzeingaben!D161),0,Zusatzeingaben!D203)</f>
        <v>0</v>
      </c>
      <c r="E71" s="507">
        <f>IF(AND(Zusatzeingaben!E161&gt;0,Zusatzeingaben!E164=Zusatzeingaben!E161),0,Zusatzeingaben!E203)</f>
        <v>0</v>
      </c>
      <c r="F71" s="507">
        <f>IF(AND(Zusatzeingaben!F161&gt;0,Zusatzeingaben!F164=Zusatzeingaben!F161),0,Zusatzeingaben!F203)</f>
        <v>0</v>
      </c>
      <c r="G71" s="507">
        <f>IF(AND(Zusatzeingaben!G161&gt;0,Zusatzeingaben!G164=Zusatzeingaben!G161),0,Zusatzeingaben!G203)</f>
        <v>0</v>
      </c>
      <c r="H71" s="507">
        <f>IF(AND(Zusatzeingaben!H161&gt;0,Zusatzeingaben!H164=Zusatzeingaben!H161),0,Zusatzeingaben!H203)</f>
        <v>0</v>
      </c>
      <c r="I71" s="508">
        <f>IF(AND(Zusatzeingaben!I161&gt;0,Zusatzeingaben!I164=Zusatzeingaben!I161),0,Zusatzeingaben!I203)</f>
        <v>0</v>
      </c>
    </row>
    <row r="72" spans="1:9" ht="16.5" hidden="1" customHeight="1">
      <c r="A72" s="1341"/>
      <c r="B72" s="522"/>
      <c r="C72" s="507">
        <f>IF(AND(Zusatzeingaben!C215&gt;C113,C78&lt;0),C71+C78,C71)</f>
        <v>0</v>
      </c>
      <c r="D72" s="507">
        <f>IF(AND(Zusatzeingaben!D215&gt;D113,D78&lt;0),D71+D78,D71)</f>
        <v>0</v>
      </c>
      <c r="E72" s="507">
        <f>IF(AND(Zusatzeingaben!E215&gt;E113,E78&lt;0),E71+E78,E71)</f>
        <v>0</v>
      </c>
      <c r="F72" s="507">
        <f>IF(AND(Zusatzeingaben!F215&gt;F113,F78&lt;0),F71+F78,F71)</f>
        <v>0</v>
      </c>
      <c r="G72" s="507">
        <f>IF(AND(Zusatzeingaben!G215&gt;G113,G78&lt;0),G71+G78,G71)</f>
        <v>0</v>
      </c>
      <c r="H72" s="507">
        <f>IF(AND(Zusatzeingaben!H215&gt;H113,H78&lt;0),H71+H78,H71)</f>
        <v>0</v>
      </c>
      <c r="I72" s="508">
        <f>IF(AND(Zusatzeingaben!I215&gt;I113,I78&lt;0),I71+I78,I71)</f>
        <v>0</v>
      </c>
    </row>
    <row r="73" spans="1:9" ht="16.5" hidden="1" customHeight="1">
      <c r="A73" s="1341"/>
      <c r="B73" s="522"/>
      <c r="C73" s="507">
        <f>IF(AND(C113&gt;0,Zusatzeingaben!C215&lt;C113),0,C72)</f>
        <v>0</v>
      </c>
      <c r="D73" s="507">
        <f>IF(AND(D113&gt;0,Zusatzeingaben!D215&lt;D113),0,D72)</f>
        <v>0</v>
      </c>
      <c r="E73" s="507">
        <f>IF(AND(E113&gt;0,Zusatzeingaben!E215&lt;E113),0,E72)</f>
        <v>0</v>
      </c>
      <c r="F73" s="507">
        <f>IF(AND(F113&gt;0,Zusatzeingaben!F215&lt;F113),0,F72)</f>
        <v>0</v>
      </c>
      <c r="G73" s="507">
        <f>IF(AND(G113&gt;0,Zusatzeingaben!G215&lt;G113),0,G72)</f>
        <v>0</v>
      </c>
      <c r="H73" s="507">
        <f>IF(AND(H113&gt;0,Zusatzeingaben!H215&lt;H113),0,H72)</f>
        <v>0</v>
      </c>
      <c r="I73" s="508">
        <f>IF(AND(I113&gt;0,Zusatzeingaben!I215&lt;I113),0,I72)</f>
        <v>0</v>
      </c>
    </row>
    <row r="74" spans="1:9" ht="16.5" hidden="1" customHeight="1">
      <c r="A74" s="1341"/>
      <c r="B74" s="522"/>
      <c r="C74" s="507">
        <f>IF(C113=0,Zusatzeingaben!C203,0)</f>
        <v>0</v>
      </c>
      <c r="D74" s="507">
        <f>IF(D113=0,Zusatzeingaben!D203,0)</f>
        <v>0</v>
      </c>
      <c r="E74" s="507">
        <f>IF(E113=0,Zusatzeingaben!E203,0)</f>
        <v>0</v>
      </c>
      <c r="F74" s="507">
        <f>IF(F113=0,Zusatzeingaben!F203,0)</f>
        <v>0</v>
      </c>
      <c r="G74" s="507">
        <f>IF(G113=0,Zusatzeingaben!G203,0)</f>
        <v>0</v>
      </c>
      <c r="H74" s="507">
        <f>IF(H113=0,Zusatzeingaben!H203,0)</f>
        <v>0</v>
      </c>
      <c r="I74" s="508">
        <f>IF(I113=0,Zusatzeingaben!I203,0)</f>
        <v>0</v>
      </c>
    </row>
    <row r="75" spans="1:9" ht="16.5" hidden="1" customHeight="1">
      <c r="A75" s="1341"/>
      <c r="B75" s="1361"/>
      <c r="C75" s="634">
        <f t="shared" ref="C75:I75" si="6">IF(C74=30,C74,C73)</f>
        <v>0</v>
      </c>
      <c r="D75" s="634">
        <f t="shared" si="6"/>
        <v>0</v>
      </c>
      <c r="E75" s="634">
        <f t="shared" si="6"/>
        <v>0</v>
      </c>
      <c r="F75" s="634">
        <f t="shared" si="6"/>
        <v>0</v>
      </c>
      <c r="G75" s="634">
        <f t="shared" si="6"/>
        <v>0</v>
      </c>
      <c r="H75" s="634">
        <f t="shared" si="6"/>
        <v>0</v>
      </c>
      <c r="I75" s="635">
        <f t="shared" si="6"/>
        <v>0</v>
      </c>
    </row>
    <row r="76" spans="1:9">
      <c r="A76" s="1362">
        <f>IF(B76&gt;0,"./. Versicherungspauschale",0)</f>
        <v>0</v>
      </c>
      <c r="B76" s="1331">
        <f>SUM(C76:I76)</f>
        <v>0</v>
      </c>
      <c r="C76" s="1363">
        <f>IF(C70=0,0,IF(C75&lt;0,0,IF(AND(C114&gt;0,C54&lt;=400),0,IF(AND(C114&gt;0,Zusatzeingaben!C141=0),0,IF(AND(C61&gt;0,C120=Zusatzeingaben!C189,Zusatzeingaben!C189&gt;0),0,C75)))))</f>
        <v>0</v>
      </c>
      <c r="D76" s="1363">
        <f>IF(D70=0,0,IF(D75&lt;0,0,IF(AND(D114&gt;0,D54&lt;=400),0,IF(AND(D114&gt;0,Zusatzeingaben!D141=0),0,IF(AND(D61&gt;0,D120=Zusatzeingaben!D189,Zusatzeingaben!D189&gt;0),0,D75)))))</f>
        <v>0</v>
      </c>
      <c r="E76" s="1363">
        <f>IF(E70=0,0,IF(E75&lt;0,0,IF(AND(E114&gt;0,E54&lt;=400),0,IF(AND(E114&gt;0,Zusatzeingaben!E141=0),0,IF(AND(E61&gt;0,E120=Zusatzeingaben!E189,Zusatzeingaben!E189&gt;0),0,E75)))))</f>
        <v>0</v>
      </c>
      <c r="F76" s="1363">
        <f>IF(F70=0,0,IF(F75&lt;0,0,IF(AND(F114&gt;0,F54&lt;=400),0,IF(AND(F114&gt;0,Zusatzeingaben!F141=0),0,IF(AND(F61&gt;0,F120=Zusatzeingaben!F189,Zusatzeingaben!F189&gt;0),0,F75)))))</f>
        <v>0</v>
      </c>
      <c r="G76" s="1363">
        <f>IF(G70=0,0,IF(G75&lt;0,0,IF(AND(G114&gt;0,G54&lt;=400),0,IF(AND(G114&gt;0,Zusatzeingaben!G141=0),0,IF(AND(G61&gt;0,G120=Zusatzeingaben!G189,Zusatzeingaben!G189&gt;0),0,G75)))))</f>
        <v>0</v>
      </c>
      <c r="H76" s="1363">
        <f>IF(H70=0,0,IF(H75&lt;0,0,IF(AND(H114&gt;0,H54&lt;=400),0,IF(AND(H114&gt;0,Zusatzeingaben!H141=0),0,IF(AND(H61&gt;0,H120=Zusatzeingaben!H189,Zusatzeingaben!H189&gt;0),0,H75)))))</f>
        <v>0</v>
      </c>
      <c r="I76" s="1364">
        <f>IF(I70=0,0,IF(I75&lt;0,0,IF(AND(I114&gt;0,I54&lt;=400),0,IF(AND(I114&gt;0,Zusatzeingaben!I141=0),0,IF(AND(I61&gt;0,I120=Zusatzeingaben!I189,Zusatzeingaben!I189&gt;0),0,I75)))))</f>
        <v>0</v>
      </c>
    </row>
    <row r="77" spans="1:9" hidden="1">
      <c r="A77" s="1341"/>
      <c r="B77" s="522"/>
      <c r="C77" s="507">
        <f>IF(AND(Zusatzeingaben!C161&gt;0,Zusatzeingaben!C164=Zusatzeingaben!C161),0,Zusatzeingaben!C204-Zusatzeingaben!C161)</f>
        <v>0</v>
      </c>
      <c r="D77" s="507">
        <f>IF(AND(Zusatzeingaben!D161&gt;0,Zusatzeingaben!D164=Zusatzeingaben!D161),0,Zusatzeingaben!D204-Zusatzeingaben!D161)</f>
        <v>0</v>
      </c>
      <c r="E77" s="507">
        <f>IF(AND(Zusatzeingaben!E161&gt;0,Zusatzeingaben!E164=Zusatzeingaben!E161),0,Zusatzeingaben!E204-Zusatzeingaben!E161)</f>
        <v>0</v>
      </c>
      <c r="F77" s="507">
        <f>IF(AND(Zusatzeingaben!F161&gt;0,Zusatzeingaben!F164=Zusatzeingaben!F161),0,Zusatzeingaben!F204-Zusatzeingaben!F161)</f>
        <v>0</v>
      </c>
      <c r="G77" s="507">
        <f>IF(AND(Zusatzeingaben!G161&gt;0,Zusatzeingaben!G164=Zusatzeingaben!G161),0,Zusatzeingaben!G204-Zusatzeingaben!G161)</f>
        <v>0</v>
      </c>
      <c r="H77" s="507">
        <f>IF(AND(Zusatzeingaben!H161&gt;0,Zusatzeingaben!H164=Zusatzeingaben!H161),0,Zusatzeingaben!H204-Zusatzeingaben!H161)</f>
        <v>0</v>
      </c>
      <c r="I77" s="508">
        <f>IF(AND(Zusatzeingaben!I161&gt;0,Zusatzeingaben!I164=Zusatzeingaben!I161),0,Zusatzeingaben!I204-Zusatzeingaben!I161)</f>
        <v>0</v>
      </c>
    </row>
    <row r="78" spans="1:9" hidden="1">
      <c r="A78" s="1341"/>
      <c r="B78" s="522"/>
      <c r="C78" s="507">
        <f>IF(AND(C71&gt;0,C77&gt;Zusatzeingaben!C204),Zusatzeingaben!C204,C77)</f>
        <v>0</v>
      </c>
      <c r="D78" s="507">
        <f>IF(AND(D71&gt;0,D77&gt;Zusatzeingaben!D204),Zusatzeingaben!D204,D77)</f>
        <v>0</v>
      </c>
      <c r="E78" s="507">
        <f>IF(AND(E71&gt;0,E77&gt;Zusatzeingaben!E204),Zusatzeingaben!E204,E77)</f>
        <v>0</v>
      </c>
      <c r="F78" s="507">
        <f>IF(AND(F71&gt;0,F77&gt;Zusatzeingaben!F204),Zusatzeingaben!F204,F77)</f>
        <v>0</v>
      </c>
      <c r="G78" s="507">
        <f>IF(AND(G71&gt;0,G77&gt;Zusatzeingaben!G204),Zusatzeingaben!G204,G77)</f>
        <v>0</v>
      </c>
      <c r="H78" s="507">
        <f>IF(AND(H71&gt;0,H77&gt;Zusatzeingaben!H204),Zusatzeingaben!H204,H77)</f>
        <v>0</v>
      </c>
      <c r="I78" s="508">
        <f>IF(AND(I71&gt;0,I77&gt;Zusatzeingaben!I204),Zusatzeingaben!I204,I77)</f>
        <v>0</v>
      </c>
    </row>
    <row r="79" spans="1:9" hidden="1">
      <c r="A79" s="1341"/>
      <c r="B79" s="522"/>
      <c r="C79" s="507">
        <f>IF(C113=0,Zusatzeingaben!C204,0)</f>
        <v>0</v>
      </c>
      <c r="D79" s="507">
        <f>IF(D113=0,Zusatzeingaben!D204,0)</f>
        <v>0</v>
      </c>
      <c r="E79" s="507">
        <f>IF(E113=0,Zusatzeingaben!E204,0)</f>
        <v>0</v>
      </c>
      <c r="F79" s="507">
        <f>IF(F113=0,Zusatzeingaben!F204,0)</f>
        <v>0</v>
      </c>
      <c r="G79" s="507">
        <f>IF(G113=0,Zusatzeingaben!G204,0)</f>
        <v>0</v>
      </c>
      <c r="H79" s="507">
        <f>IF(H113=0,Zusatzeingaben!H204,0)</f>
        <v>0</v>
      </c>
      <c r="I79" s="508">
        <f>IF(I113=0,Zusatzeingaben!I204,0)</f>
        <v>0</v>
      </c>
    </row>
    <row r="80" spans="1:9" hidden="1">
      <c r="A80" s="1341"/>
      <c r="B80" s="522"/>
      <c r="C80" s="507">
        <f>IF(C79=Zusatzeingaben!C204,C79,C78)</f>
        <v>0</v>
      </c>
      <c r="D80" s="507">
        <f>IF(D79=Zusatzeingaben!D204,D79,D78)</f>
        <v>0</v>
      </c>
      <c r="E80" s="507">
        <f>IF(E79=Zusatzeingaben!E204,E79,E78)</f>
        <v>0</v>
      </c>
      <c r="F80" s="507">
        <f>IF(F79=Zusatzeingaben!F204,F79,F78)</f>
        <v>0</v>
      </c>
      <c r="G80" s="507">
        <f>IF(G79=Zusatzeingaben!G204,G79,G78)</f>
        <v>0</v>
      </c>
      <c r="H80" s="507">
        <f>IF(H79=Zusatzeingaben!H204,H79,H78)</f>
        <v>0</v>
      </c>
      <c r="I80" s="508">
        <f>IF(I79=Zusatzeingaben!I204,I79,I78)</f>
        <v>0</v>
      </c>
    </row>
    <row r="81" spans="1:11" hidden="1">
      <c r="A81" s="1341"/>
      <c r="B81" s="522"/>
      <c r="C81" s="1016">
        <f t="shared" ref="C81:I81" si="7">IF(OR(C80&lt;0,C70=0),0,C80)</f>
        <v>0</v>
      </c>
      <c r="D81" s="1016">
        <f t="shared" si="7"/>
        <v>0</v>
      </c>
      <c r="E81" s="1016">
        <f t="shared" si="7"/>
        <v>0</v>
      </c>
      <c r="F81" s="1016">
        <f t="shared" si="7"/>
        <v>0</v>
      </c>
      <c r="G81" s="1016">
        <f t="shared" si="7"/>
        <v>0</v>
      </c>
      <c r="H81" s="1016">
        <f t="shared" si="7"/>
        <v>0</v>
      </c>
      <c r="I81" s="1017">
        <f t="shared" si="7"/>
        <v>0</v>
      </c>
    </row>
    <row r="82" spans="1:11">
      <c r="A82" s="976">
        <f>IF(B82&gt;0,"./. Kfz-Haftpflichtversicherung",0)</f>
        <v>0</v>
      </c>
      <c r="B82" s="1335">
        <f>SUM(C82:I82)</f>
        <v>0</v>
      </c>
      <c r="C82" s="1016">
        <f>IF(AND(C114&gt;0,C54&lt;=400),0,IF(AND(C114&gt;0,Zusatzeingaben!C141=0),0,IF(AND(C120=Zusatzeingaben!C189,C61&gt;0,Zusatzeingaben!C189&gt;0),0,C81)))</f>
        <v>0</v>
      </c>
      <c r="D82" s="1016">
        <f>IF(AND(D114&gt;0,D54&lt;=400),0,IF(AND(D114&gt;0,Zusatzeingaben!D141=0),0,IF(AND(D120=Zusatzeingaben!D189,D61&gt;0,Zusatzeingaben!D189&gt;0),0,D81)))</f>
        <v>0</v>
      </c>
      <c r="E82" s="1016">
        <f>IF(AND(E114&gt;0,E54&lt;=400),0,IF(AND(E114&gt;0,Zusatzeingaben!E141=0),0,IF(AND(E120=Zusatzeingaben!E189,E61&gt;0,Zusatzeingaben!E189&gt;0),0,E81)))</f>
        <v>0</v>
      </c>
      <c r="F82" s="1016">
        <f>IF(AND(F114&gt;0,F54&lt;=400),0,IF(AND(F114&gt;0,Zusatzeingaben!F141=0),0,IF(AND(F120=Zusatzeingaben!F189,F61&gt;0,Zusatzeingaben!F189&gt;0),0,F81)))</f>
        <v>0</v>
      </c>
      <c r="G82" s="1016">
        <f>IF(AND(G114&gt;0,G54&lt;=400),0,IF(AND(G114&gt;0,Zusatzeingaben!G141=0),0,IF(AND(G120=Zusatzeingaben!G189,G61&gt;0,Zusatzeingaben!G189&gt;0),0,G81)))</f>
        <v>0</v>
      </c>
      <c r="H82" s="1016">
        <f>IF(AND(H114&gt;0,H54&lt;=400),0,IF(AND(H114&gt;0,Zusatzeingaben!H141=0),0,IF(AND(H120=Zusatzeingaben!H189,H61&gt;0,Zusatzeingaben!H189&gt;0),0,H81)))</f>
        <v>0</v>
      </c>
      <c r="I82" s="1017">
        <f>IF(AND(I114&gt;0,I54&lt;=400),0,IF(AND(I114&gt;0,Zusatzeingaben!I141=0),0,IF(AND(I120=Zusatzeingaben!I189,I61&gt;0,Zusatzeingaben!I189&gt;0),0,I81)))</f>
        <v>0</v>
      </c>
      <c r="K82" s="563"/>
    </row>
    <row r="83" spans="1:11" ht="18" hidden="1" customHeight="1">
      <c r="A83" s="1341"/>
      <c r="B83" s="507"/>
      <c r="C83" s="507">
        <f>IF(AND(Zusatzeingaben!C161&gt;0,Zusatzeingaben!C164=Zusatzeingaben!C161),0,Zusatzeingaben!C205)</f>
        <v>0</v>
      </c>
      <c r="D83" s="507">
        <f>IF(AND(Zusatzeingaben!D161&gt;0,Zusatzeingaben!D164=Zusatzeingaben!D161),0,Zusatzeingaben!D205)</f>
        <v>0</v>
      </c>
      <c r="E83" s="507">
        <f>IF(AND(Zusatzeingaben!E161&gt;0,Zusatzeingaben!E164=Zusatzeingaben!E161),0,Zusatzeingaben!E205)</f>
        <v>0</v>
      </c>
      <c r="F83" s="507">
        <f>IF(AND(Zusatzeingaben!F161&gt;0,Zusatzeingaben!F164=Zusatzeingaben!F161),0,Zusatzeingaben!F205)</f>
        <v>0</v>
      </c>
      <c r="G83" s="507">
        <f>IF(AND(Zusatzeingaben!G161&gt;0,Zusatzeingaben!G164=Zusatzeingaben!G161),0,Zusatzeingaben!G205)</f>
        <v>0</v>
      </c>
      <c r="H83" s="507">
        <f>IF(AND(Zusatzeingaben!H161&gt;0,Zusatzeingaben!H164=Zusatzeingaben!H161),0,Zusatzeingaben!H205)</f>
        <v>0</v>
      </c>
      <c r="I83" s="508">
        <f>IF(AND(Zusatzeingaben!I161&gt;0,Zusatzeingaben!I164=Zusatzeingaben!I161),0,Zusatzeingaben!I205)</f>
        <v>0</v>
      </c>
      <c r="K83" s="563"/>
    </row>
    <row r="84" spans="1:11" ht="18" hidden="1" customHeight="1">
      <c r="A84" s="1341"/>
      <c r="B84" s="507"/>
      <c r="C84" s="507">
        <f>IF(AND(Zusatzeingaben!C215&gt;C113,C78&lt;&gt;Zusatzeingaben!C204),C83,0)</f>
        <v>0</v>
      </c>
      <c r="D84" s="507">
        <f>IF(AND(Zusatzeingaben!D215&gt;D113,D78&lt;&gt;Zusatzeingaben!D204),D83,0)</f>
        <v>0</v>
      </c>
      <c r="E84" s="507">
        <f>IF(AND(Zusatzeingaben!E215&gt;E113,E78&lt;&gt;Zusatzeingaben!E204),E83,0)</f>
        <v>0</v>
      </c>
      <c r="F84" s="507">
        <f>IF(AND(Zusatzeingaben!F215&gt;F113,F78&lt;&gt;Zusatzeingaben!F204),F83,0)</f>
        <v>0</v>
      </c>
      <c r="G84" s="507">
        <f>IF(AND(Zusatzeingaben!G215&gt;G113,G78&lt;&gt;Zusatzeingaben!G204),G83,0)</f>
        <v>0</v>
      </c>
      <c r="H84" s="507">
        <f>IF(AND(Zusatzeingaben!H215&gt;H113,H78&lt;&gt;Zusatzeingaben!H204),H83,0)</f>
        <v>0</v>
      </c>
      <c r="I84" s="508">
        <f>IF(AND(Zusatzeingaben!I215&gt;I113,I78&lt;&gt;Zusatzeingaben!I204),I83,0)</f>
        <v>0</v>
      </c>
      <c r="K84" s="563"/>
    </row>
    <row r="85" spans="1:11" ht="18" hidden="1" customHeight="1">
      <c r="A85" s="1341"/>
      <c r="B85" s="507"/>
      <c r="C85" s="507">
        <f>IF(C113=0,Zusatzeingaben!C205,0)</f>
        <v>0</v>
      </c>
      <c r="D85" s="507">
        <f>IF(D113=0,Zusatzeingaben!D205,0)</f>
        <v>0</v>
      </c>
      <c r="E85" s="507">
        <f>IF(E113=0,Zusatzeingaben!E205,0)</f>
        <v>0</v>
      </c>
      <c r="F85" s="507">
        <f>IF(F113=0,Zusatzeingaben!F205,0)</f>
        <v>0</v>
      </c>
      <c r="G85" s="507">
        <f>IF(G113=0,Zusatzeingaben!G205,0)</f>
        <v>0</v>
      </c>
      <c r="H85" s="507">
        <f>IF(H113=0,Zusatzeingaben!H205,0)</f>
        <v>0</v>
      </c>
      <c r="I85" s="508">
        <f>IF(I113=0,Zusatzeingaben!I205,0)</f>
        <v>0</v>
      </c>
      <c r="K85" s="563"/>
    </row>
    <row r="86" spans="1:11" ht="18" hidden="1" customHeight="1">
      <c r="A86" s="1341"/>
      <c r="B86" s="507"/>
      <c r="C86" s="507">
        <f>IF(C85=Zusatzeingaben!C205,C85,C84)</f>
        <v>0</v>
      </c>
      <c r="D86" s="507">
        <f>IF(D85=Zusatzeingaben!D205,D85,D84)</f>
        <v>0</v>
      </c>
      <c r="E86" s="507">
        <f>IF(E85=Zusatzeingaben!E205,E85,E84)</f>
        <v>0</v>
      </c>
      <c r="F86" s="507">
        <f>IF(F85=Zusatzeingaben!F205,F85,F84)</f>
        <v>0</v>
      </c>
      <c r="G86" s="507">
        <f>IF(G85=Zusatzeingaben!G205,G85,G84)</f>
        <v>0</v>
      </c>
      <c r="H86" s="507">
        <f>IF(H85=Zusatzeingaben!H205,H85,H84)</f>
        <v>0</v>
      </c>
      <c r="I86" s="508">
        <f>IF(I85=Zusatzeingaben!I205,I85,I84)</f>
        <v>0</v>
      </c>
    </row>
    <row r="87" spans="1:11" ht="18" customHeight="1">
      <c r="A87" s="976">
        <f>IF(B87&gt;0,"./. Beiträge für Krankheit/Alter/ZVK",0)</f>
        <v>0</v>
      </c>
      <c r="B87" s="1365">
        <f>SUM(C87:I87)</f>
        <v>0</v>
      </c>
      <c r="C87" s="1016">
        <f>IF(C70=0,0,IF(AND(C114&gt;0,C54&lt;=400),0,IF(AND(C114&gt;0,Zusatzeingaben!C141=0),0,IF(AND(C120=Zusatzeingaben!C189,C61&gt;0,Zusatzeingaben!C189&gt;0),0,C86))))</f>
        <v>0</v>
      </c>
      <c r="D87" s="1016">
        <f>IF(D70=0,0,IF(AND(D114&gt;0,D54&lt;=400),0,IF(AND(D114&gt;0,Zusatzeingaben!D141=0),0,IF(AND(D120=Zusatzeingaben!D189,D61&gt;0,Zusatzeingaben!D189&gt;0),0,D86))))</f>
        <v>0</v>
      </c>
      <c r="E87" s="1016">
        <f>IF(E70=0,0,IF(AND(E114&gt;0,E54&lt;=400),0,IF(AND(E114&gt;0,Zusatzeingaben!E141=0),0,IF(AND(E120=Zusatzeingaben!E189,E61&gt;0,Zusatzeingaben!E189&gt;0),0,E86))))</f>
        <v>0</v>
      </c>
      <c r="F87" s="1016">
        <f>IF(F70=0,0,IF(AND(F114&gt;0,F54&lt;=400),0,IF(AND(F114&gt;0,Zusatzeingaben!F141=0),0,IF(AND(F120=Zusatzeingaben!F189,F61&gt;0,Zusatzeingaben!F189&gt;0),0,F86))))</f>
        <v>0</v>
      </c>
      <c r="G87" s="1016">
        <f>IF(G70=0,0,IF(AND(G114&gt;0,G54&lt;=400),0,IF(AND(G114&gt;0,Zusatzeingaben!G141=0),0,IF(AND(G120=Zusatzeingaben!G189,G61&gt;0,Zusatzeingaben!G189&gt;0),0,G86))))</f>
        <v>0</v>
      </c>
      <c r="H87" s="1016">
        <f>IF(H70=0,0,IF(AND(H114&gt;0,H54&lt;=400),0,IF(AND(H114&gt;0,Zusatzeingaben!H141=0),0,IF(AND(H120=Zusatzeingaben!H189,H61&gt;0,Zusatzeingaben!H189&gt;0),0,H86))))</f>
        <v>0</v>
      </c>
      <c r="I87" s="1017">
        <f>IF(I70=0,0,IF(AND(I114&gt;0,I54&lt;=400),0,IF(AND(I114&gt;0,Zusatzeingaben!I141=0),0,IF(AND(I120=Zusatzeingaben!I189,I61&gt;0,Zusatzeingaben!I189&gt;0),0,I86))))</f>
        <v>0</v>
      </c>
    </row>
    <row r="88" spans="1:11" ht="16.5" hidden="1" customHeight="1">
      <c r="A88" s="1341"/>
      <c r="B88" s="507"/>
      <c r="C88" s="507">
        <f>IF(AND(Zusatzeingaben!C161&gt;0,Zusatzeingaben!C164=Zusatzeingaben!C161),0,Zusatzeingaben!C213)</f>
        <v>0</v>
      </c>
      <c r="D88" s="507">
        <f>IF(AND(Zusatzeingaben!D161&gt;0,Zusatzeingaben!D164=Zusatzeingaben!D161),0,Zusatzeingaben!D213)</f>
        <v>0</v>
      </c>
      <c r="E88" s="507">
        <f>IF(AND(Zusatzeingaben!E161&gt;0,Zusatzeingaben!E164=Zusatzeingaben!E161),0,Zusatzeingaben!E213)</f>
        <v>0</v>
      </c>
      <c r="F88" s="507">
        <f>IF(AND(Zusatzeingaben!F161&gt;0,Zusatzeingaben!F164=Zusatzeingaben!F161),0,Zusatzeingaben!F213)</f>
        <v>0</v>
      </c>
      <c r="G88" s="507">
        <f>IF(AND(Zusatzeingaben!G161&gt;0,Zusatzeingaben!G164=Zusatzeingaben!G161),0,Zusatzeingaben!G213)</f>
        <v>0</v>
      </c>
      <c r="H88" s="507">
        <f>IF(AND(Zusatzeingaben!H161&gt;0,Zusatzeingaben!H164=Zusatzeingaben!H161),0,Zusatzeingaben!H213)</f>
        <v>0</v>
      </c>
      <c r="I88" s="508">
        <f>IF(AND(Zusatzeingaben!I161&gt;0,Zusatzeingaben!I164=Zusatzeingaben!I161),0,Zusatzeingaben!I213)</f>
        <v>0</v>
      </c>
    </row>
    <row r="89" spans="1:11" ht="16.5" hidden="1" customHeight="1">
      <c r="A89" s="1341"/>
      <c r="B89" s="507"/>
      <c r="C89" s="507">
        <f>IF(AND(Zusatzeingaben!C215&gt;C113,C78&lt;&gt;Zusatzeingaben!C204),C88,0)</f>
        <v>0</v>
      </c>
      <c r="D89" s="507">
        <f>IF(AND(Zusatzeingaben!D215&gt;D113,D78&lt;&gt;Zusatzeingaben!D204),D88,0)</f>
        <v>0</v>
      </c>
      <c r="E89" s="507">
        <f>IF(AND(Zusatzeingaben!E215&gt;E113,E78&lt;&gt;Zusatzeingaben!E204),E88,0)</f>
        <v>0</v>
      </c>
      <c r="F89" s="507">
        <f>IF(AND(Zusatzeingaben!F215&gt;F113,F78&lt;&gt;Zusatzeingaben!F204),F88,0)</f>
        <v>0</v>
      </c>
      <c r="G89" s="507">
        <f>IF(AND(Zusatzeingaben!G215&gt;G113,G78&lt;&gt;Zusatzeingaben!G204),G88,0)</f>
        <v>0</v>
      </c>
      <c r="H89" s="507">
        <f>IF(AND(Zusatzeingaben!H215&gt;H113,H78&lt;&gt;Zusatzeingaben!H204),H88,0)</f>
        <v>0</v>
      </c>
      <c r="I89" s="508">
        <f>IF(AND(Zusatzeingaben!I215&gt;I113,I78&lt;&gt;Zusatzeingaben!I204),I88,0)</f>
        <v>0</v>
      </c>
    </row>
    <row r="90" spans="1:11" ht="16.5" hidden="1" customHeight="1">
      <c r="A90" s="1341"/>
      <c r="B90" s="507"/>
      <c r="C90" s="507">
        <f>IF(C113=0,Zusatzeingaben!C213,0)</f>
        <v>0</v>
      </c>
      <c r="D90" s="507">
        <f>IF(D113=0,Zusatzeingaben!D213,0)</f>
        <v>0</v>
      </c>
      <c r="E90" s="507">
        <f>IF(E113=0,Zusatzeingaben!E213,0)</f>
        <v>0</v>
      </c>
      <c r="F90" s="507">
        <f>IF(F113=0,Zusatzeingaben!F213,0)</f>
        <v>0</v>
      </c>
      <c r="G90" s="507">
        <f>IF(G113=0,Zusatzeingaben!G213,0)</f>
        <v>0</v>
      </c>
      <c r="H90" s="507">
        <f>IF(H113=0,Zusatzeingaben!H213,0)</f>
        <v>0</v>
      </c>
      <c r="I90" s="508">
        <f>IF(I113=0,Zusatzeingaben!I213,0)</f>
        <v>0</v>
      </c>
    </row>
    <row r="91" spans="1:11" ht="16.5" hidden="1" customHeight="1">
      <c r="A91" s="1341"/>
      <c r="B91" s="507"/>
      <c r="C91" s="507">
        <f>IF(C90=Zusatzeingaben!C213,C90,C89)</f>
        <v>0</v>
      </c>
      <c r="D91" s="507">
        <f>IF(D90=Zusatzeingaben!D213,D90,D89)</f>
        <v>0</v>
      </c>
      <c r="E91" s="507">
        <f>IF(E90=Zusatzeingaben!E213,E90,E89)</f>
        <v>0</v>
      </c>
      <c r="F91" s="507">
        <f>IF(F90=Zusatzeingaben!F213,F90,F89)</f>
        <v>0</v>
      </c>
      <c r="G91" s="507">
        <f>IF(G90=Zusatzeingaben!G213,G90,G89)</f>
        <v>0</v>
      </c>
      <c r="H91" s="507">
        <f>IF(H90=Zusatzeingaben!H213,H90,H89)</f>
        <v>0</v>
      </c>
      <c r="I91" s="508">
        <f>IF(I90=Zusatzeingaben!I213,I90,I89)</f>
        <v>0</v>
      </c>
    </row>
    <row r="92" spans="1:11">
      <c r="A92" s="976">
        <f>IF(B92&gt;0,"./. Beiträge Riester-Rente",0)</f>
        <v>0</v>
      </c>
      <c r="B92" s="1365">
        <f>SUM(C92:I92)</f>
        <v>0</v>
      </c>
      <c r="C92" s="1016">
        <f>IF(C70=0,0,IF(AND(C114&gt;0,C54&lt;=400),0,IF(AND(C114&gt;0,Zusatzeingaben!C141=0),0,IF(AND(C120=Zusatzeingaben!C189,C61&gt;0,Zusatzeingaben!C189&gt;0),0,C91))))</f>
        <v>0</v>
      </c>
      <c r="D92" s="1016">
        <f>IF(D70=0,0,IF(AND(D114&gt;0,D54&lt;=400),0,IF(AND(D114&gt;0,Zusatzeingaben!D141=0),0,IF(AND(D120=Zusatzeingaben!D189,D61&gt;0,Zusatzeingaben!D189&gt;0),0,D91))))</f>
        <v>0</v>
      </c>
      <c r="E92" s="1016">
        <f>IF(E70=0,0,IF(AND(E114&gt;0,E54&lt;=400),0,IF(AND(E114&gt;0,Zusatzeingaben!E141=0),0,IF(AND(E120=Zusatzeingaben!E189,E61&gt;0,Zusatzeingaben!E189&gt;0),0,E91))))</f>
        <v>0</v>
      </c>
      <c r="F92" s="1016">
        <f>IF(F70=0,0,IF(AND(F114&gt;0,F54&lt;=400),0,IF(AND(F114&gt;0,Zusatzeingaben!F141=0),0,IF(AND(F120=Zusatzeingaben!F189,F61&gt;0,Zusatzeingaben!F189&gt;0),0,F91))))</f>
        <v>0</v>
      </c>
      <c r="G92" s="1016">
        <f>IF(G70=0,0,IF(AND(G114&gt;0,G54&lt;=400),0,IF(AND(G114&gt;0,Zusatzeingaben!G141=0),0,IF(AND(G120=Zusatzeingaben!G189,G61&gt;0,Zusatzeingaben!G189&gt;0),0,G91))))</f>
        <v>0</v>
      </c>
      <c r="H92" s="1016">
        <f>IF(H70=0,0,IF(AND(H114&gt;0,H54&lt;=400),0,IF(AND(H114&gt;0,Zusatzeingaben!H141=0),0,IF(AND(H120=Zusatzeingaben!H189,H61&gt;0,Zusatzeingaben!H189&gt;0),0,H91))))</f>
        <v>0</v>
      </c>
      <c r="I92" s="1017">
        <f>IF(I70=0,0,IF(AND(I114&gt;0,I54&lt;=400),0,IF(AND(I114&gt;0,Zusatzeingaben!I141=0),0,IF(AND(I120=Zusatzeingaben!I189,I61&gt;0,Zusatzeingaben!I189&gt;0),0,I91))))</f>
        <v>0</v>
      </c>
    </row>
    <row r="93" spans="1:11" hidden="1">
      <c r="A93" s="976"/>
      <c r="B93" s="507"/>
      <c r="C93" s="507">
        <f>IF(AND(Zusatzeingaben!C161&gt;0,Zusatzeingaben!C164=Zusatzeingaben!C161),0,Zusatzeingaben!C127)</f>
        <v>0</v>
      </c>
      <c r="D93" s="507">
        <f>IF(AND(Zusatzeingaben!D161&gt;0,Zusatzeingaben!D164=Zusatzeingaben!D161),0,Zusatzeingaben!D127)</f>
        <v>0</v>
      </c>
      <c r="E93" s="507">
        <f>IF(AND(Zusatzeingaben!E161&gt;0,Zusatzeingaben!E164=Zusatzeingaben!E161),0,Zusatzeingaben!E127)</f>
        <v>0</v>
      </c>
      <c r="F93" s="507">
        <f>IF(AND(Zusatzeingaben!F161&gt;0,Zusatzeingaben!F164=Zusatzeingaben!F161),0,Zusatzeingaben!F127)</f>
        <v>0</v>
      </c>
      <c r="G93" s="507">
        <f>IF(AND(Zusatzeingaben!G161&gt;0,Zusatzeingaben!G164=Zusatzeingaben!G161),0,Zusatzeingaben!G127)</f>
        <v>0</v>
      </c>
      <c r="H93" s="507">
        <f>IF(AND(Zusatzeingaben!H161&gt;0,Zusatzeingaben!H164=Zusatzeingaben!H161),0,Zusatzeingaben!H127)</f>
        <v>0</v>
      </c>
      <c r="I93" s="508">
        <f>IF(AND(Zusatzeingaben!I161&gt;0,Zusatzeingaben!I164=Zusatzeingaben!I161),0,Zusatzeingaben!I127)</f>
        <v>0</v>
      </c>
    </row>
    <row r="94" spans="1:11" hidden="1">
      <c r="A94" s="1366"/>
      <c r="B94" s="507"/>
      <c r="C94" s="507">
        <f>IF(AND(Zusatzeingaben!C215&gt;C113,C78&lt;&gt;Zusatzeingaben!C127),C93,0)</f>
        <v>0</v>
      </c>
      <c r="D94" s="507">
        <f>IF(AND(Zusatzeingaben!D215&gt;D113,D78&lt;&gt;Zusatzeingaben!D127),D93,0)</f>
        <v>0</v>
      </c>
      <c r="E94" s="507">
        <f>IF(AND(Zusatzeingaben!E215&gt;E113,E78&lt;&gt;Zusatzeingaben!E127),E93,0)</f>
        <v>0</v>
      </c>
      <c r="F94" s="507">
        <f>IF(AND(Zusatzeingaben!F215&gt;F113,F78&lt;&gt;Zusatzeingaben!F127),F93,0)</f>
        <v>0</v>
      </c>
      <c r="G94" s="507">
        <f>IF(AND(Zusatzeingaben!G215&gt;G113,G78&lt;&gt;Zusatzeingaben!G127),G93,0)</f>
        <v>0</v>
      </c>
      <c r="H94" s="507">
        <f>IF(AND(Zusatzeingaben!H215&gt;H113,H78&lt;&gt;Zusatzeingaben!H127),H93,0)</f>
        <v>0</v>
      </c>
      <c r="I94" s="508">
        <f>IF(AND(Zusatzeingaben!I215&gt;I113,I78&lt;&gt;Zusatzeingaben!I127),I93,0)</f>
        <v>0</v>
      </c>
    </row>
    <row r="95" spans="1:11" hidden="1">
      <c r="A95" s="976"/>
      <c r="B95" s="507"/>
      <c r="C95" s="507">
        <f>IF(C113=0,Zusatzeingaben!C127,0)</f>
        <v>0</v>
      </c>
      <c r="D95" s="507">
        <f>IF(D113=0,Zusatzeingaben!D127,0)</f>
        <v>0</v>
      </c>
      <c r="E95" s="507">
        <f>IF(E113=0,Zusatzeingaben!E127,0)</f>
        <v>0</v>
      </c>
      <c r="F95" s="507">
        <f>IF(F113=0,Zusatzeingaben!F127,0)</f>
        <v>0</v>
      </c>
      <c r="G95" s="507">
        <f>IF(G113=0,Zusatzeingaben!G127,0)</f>
        <v>0</v>
      </c>
      <c r="H95" s="507">
        <f>IF(H113=0,Zusatzeingaben!H127,0)</f>
        <v>0</v>
      </c>
      <c r="I95" s="508">
        <f>IF(I113=0,Zusatzeingaben!I127,0)</f>
        <v>0</v>
      </c>
    </row>
    <row r="96" spans="1:11" hidden="1">
      <c r="A96" s="976"/>
      <c r="B96" s="507"/>
      <c r="C96" s="507">
        <f>IF(C95=Zusatzeingaben!C127,C95,C94)</f>
        <v>0</v>
      </c>
      <c r="D96" s="507">
        <f>IF(D95=Zusatzeingaben!D127,D95,D94)</f>
        <v>0</v>
      </c>
      <c r="E96" s="507">
        <f>IF(E95=Zusatzeingaben!E127,E95,E94)</f>
        <v>0</v>
      </c>
      <c r="F96" s="507">
        <f>IF(F95=Zusatzeingaben!F127,F95,F94)</f>
        <v>0</v>
      </c>
      <c r="G96" s="507">
        <f>IF(G95=Zusatzeingaben!G127,G95,G94)</f>
        <v>0</v>
      </c>
      <c r="H96" s="507">
        <f>IF(H95=Zusatzeingaben!H127,H95,H94)</f>
        <v>0</v>
      </c>
      <c r="I96" s="508">
        <f>IF(I95=Zusatzeingaben!I127,I95,I94)</f>
        <v>0</v>
      </c>
    </row>
    <row r="97" spans="1:9" hidden="1">
      <c r="A97" s="1366"/>
      <c r="B97" s="507"/>
      <c r="C97" s="507">
        <f>IF(Zusatzeingaben!C140=0,0,C96)</f>
        <v>0</v>
      </c>
      <c r="D97" s="507">
        <f>IF(Zusatzeingaben!D140=0,0,D96)</f>
        <v>0</v>
      </c>
      <c r="E97" s="507">
        <f>IF(Zusatzeingaben!E140=0,0,E96)</f>
        <v>0</v>
      </c>
      <c r="F97" s="507">
        <f>IF(Zusatzeingaben!F140=0,0,F96)</f>
        <v>0</v>
      </c>
      <c r="G97" s="507">
        <f>IF(Zusatzeingaben!G140=0,0,G96)</f>
        <v>0</v>
      </c>
      <c r="H97" s="507">
        <f>IF(Zusatzeingaben!H140=0,0,H96)</f>
        <v>0</v>
      </c>
      <c r="I97" s="508">
        <f>IF(Zusatzeingaben!I140=0,0,I96)</f>
        <v>0</v>
      </c>
    </row>
    <row r="98" spans="1:9">
      <c r="A98" s="976">
        <f>IF(B98&gt;0,"./. Fahrtkosten",0)</f>
        <v>0</v>
      </c>
      <c r="B98" s="1335">
        <f>SUM(C98:I98)</f>
        <v>0</v>
      </c>
      <c r="C98" s="1016">
        <f t="shared" ref="C98:I98" si="8">IF(AND(C114&gt;0,C54&lt;=400),0,IF(C75&lt;0,C97+C75,IF(C70=0,0,C97)))</f>
        <v>0</v>
      </c>
      <c r="D98" s="1016">
        <f t="shared" si="8"/>
        <v>0</v>
      </c>
      <c r="E98" s="1016">
        <f t="shared" si="8"/>
        <v>0</v>
      </c>
      <c r="F98" s="1016">
        <f t="shared" si="8"/>
        <v>0</v>
      </c>
      <c r="G98" s="1016">
        <f t="shared" si="8"/>
        <v>0</v>
      </c>
      <c r="H98" s="1016">
        <f t="shared" si="8"/>
        <v>0</v>
      </c>
      <c r="I98" s="1017">
        <f t="shared" si="8"/>
        <v>0</v>
      </c>
    </row>
    <row r="99" spans="1:9" hidden="1">
      <c r="A99" s="976"/>
      <c r="B99" s="522"/>
      <c r="C99" s="507">
        <f>IF(AND(Zusatzeingaben!C161&gt;0,Zusatzeingaben!C164=Zusatzeingaben!C161),0,Zusatzeingaben!C124)</f>
        <v>0</v>
      </c>
      <c r="D99" s="507">
        <f>IF(AND(Zusatzeingaben!D161&gt;0,Zusatzeingaben!D164=Zusatzeingaben!D161),0,Zusatzeingaben!D124)</f>
        <v>0</v>
      </c>
      <c r="E99" s="507">
        <f>IF(AND(Zusatzeingaben!E161&gt;0,Zusatzeingaben!E164=Zusatzeingaben!E161),0,Zusatzeingaben!E124)</f>
        <v>0</v>
      </c>
      <c r="F99" s="507">
        <f>IF(AND(Zusatzeingaben!F161&gt;0,Zusatzeingaben!F164=Zusatzeingaben!F161),0,Zusatzeingaben!F124)</f>
        <v>0</v>
      </c>
      <c r="G99" s="507">
        <f>IF(AND(Zusatzeingaben!G161&gt;0,Zusatzeingaben!G164=Zusatzeingaben!G161),0,Zusatzeingaben!G124)</f>
        <v>0</v>
      </c>
      <c r="H99" s="507">
        <f>IF(AND(Zusatzeingaben!H161&gt;0,Zusatzeingaben!H164=Zusatzeingaben!H161),0,Zusatzeingaben!H124)</f>
        <v>0</v>
      </c>
      <c r="I99" s="508">
        <f>IF(AND(Zusatzeingaben!I161&gt;0,Zusatzeingaben!I164=Zusatzeingaben!I161),0,Zusatzeingaben!I124)</f>
        <v>0</v>
      </c>
    </row>
    <row r="100" spans="1:9" hidden="1">
      <c r="A100" s="1366"/>
      <c r="B100" s="522"/>
      <c r="C100" s="507">
        <f>IF(AND(Zusatzeingaben!C215&gt;C113,C78&lt;&gt;Zusatzeingaben!C124),C99,0)</f>
        <v>0</v>
      </c>
      <c r="D100" s="507">
        <f>IF(AND(Zusatzeingaben!D215&gt;D113,D78&lt;&gt;Zusatzeingaben!D124),D99,0)</f>
        <v>0</v>
      </c>
      <c r="E100" s="507">
        <f>IF(AND(Zusatzeingaben!E215&gt;E113,E78&lt;&gt;Zusatzeingaben!E124),E99,0)</f>
        <v>0</v>
      </c>
      <c r="F100" s="507">
        <f>IF(AND(Zusatzeingaben!F215&gt;F113,F78&lt;&gt;Zusatzeingaben!F124),F99,0)</f>
        <v>0</v>
      </c>
      <c r="G100" s="507">
        <f>IF(AND(Zusatzeingaben!G215&gt;G113,G78&lt;&gt;Zusatzeingaben!G124),G99,0)</f>
        <v>0</v>
      </c>
      <c r="H100" s="507">
        <f>IF(AND(Zusatzeingaben!H215&gt;H113,H78&lt;&gt;Zusatzeingaben!H124),H99,0)</f>
        <v>0</v>
      </c>
      <c r="I100" s="508">
        <f>IF(AND(Zusatzeingaben!I215&gt;I113,I78&lt;&gt;Zusatzeingaben!I124),I99,0)</f>
        <v>0</v>
      </c>
    </row>
    <row r="101" spans="1:9" hidden="1">
      <c r="A101" s="976"/>
      <c r="B101" s="522"/>
      <c r="C101" s="507">
        <f>IF(C113=0,Zusatzeingaben!C124,0)</f>
        <v>0</v>
      </c>
      <c r="D101" s="507">
        <f>IF(D113=0,Zusatzeingaben!D124,0)</f>
        <v>0</v>
      </c>
      <c r="E101" s="507">
        <f>IF(E113=0,Zusatzeingaben!E124,0)</f>
        <v>0</v>
      </c>
      <c r="F101" s="507">
        <f>IF(F113=0,Zusatzeingaben!F124,0)</f>
        <v>0</v>
      </c>
      <c r="G101" s="507">
        <f>IF(G113=0,Zusatzeingaben!G124,0)</f>
        <v>0</v>
      </c>
      <c r="H101" s="507">
        <f>IF(H113=0,Zusatzeingaben!H124,0)</f>
        <v>0</v>
      </c>
      <c r="I101" s="508">
        <f>IF(I113=0,Zusatzeingaben!I124,0)</f>
        <v>0</v>
      </c>
    </row>
    <row r="102" spans="1:9" hidden="1">
      <c r="A102" s="976"/>
      <c r="B102" s="522"/>
      <c r="C102" s="507">
        <f>IF(C101=Zusatzeingaben!C124,C101,C99)</f>
        <v>0</v>
      </c>
      <c r="D102" s="507">
        <f>IF(D101=Zusatzeingaben!D124,D101,D99)</f>
        <v>0</v>
      </c>
      <c r="E102" s="507">
        <f>IF(E101=Zusatzeingaben!E124,E101,E99)</f>
        <v>0</v>
      </c>
      <c r="F102" s="507">
        <f>IF(F101=Zusatzeingaben!F124,F101,F99)</f>
        <v>0</v>
      </c>
      <c r="G102" s="507">
        <f>IF(G101=Zusatzeingaben!G124,G101,G99)</f>
        <v>0</v>
      </c>
      <c r="H102" s="507">
        <f>IF(H101=Zusatzeingaben!H124,H101,H99)</f>
        <v>0</v>
      </c>
      <c r="I102" s="508">
        <f>IF(I101=Zusatzeingaben!I124,I101,I99)</f>
        <v>0</v>
      </c>
    </row>
    <row r="103" spans="1:9" hidden="1">
      <c r="A103" s="1366"/>
      <c r="B103" s="522"/>
      <c r="C103" s="507">
        <f>IF(Zusatzeingaben!C140=0,0,C102)</f>
        <v>0</v>
      </c>
      <c r="D103" s="507">
        <f>IF(Zusatzeingaben!D140=0,0,D102)</f>
        <v>0</v>
      </c>
      <c r="E103" s="507">
        <f>IF(Zusatzeingaben!E140=0,0,E102)</f>
        <v>0</v>
      </c>
      <c r="F103" s="507">
        <f>IF(Zusatzeingaben!F140=0,0,F102)</f>
        <v>0</v>
      </c>
      <c r="G103" s="507">
        <f>IF(Zusatzeingaben!G140=0,0,G102)</f>
        <v>0</v>
      </c>
      <c r="H103" s="507">
        <f>IF(Zusatzeingaben!H140=0,0,H102)</f>
        <v>0</v>
      </c>
      <c r="I103" s="508">
        <f>IF(Zusatzeingaben!I140=0,0,I102)</f>
        <v>0</v>
      </c>
    </row>
    <row r="104" spans="1:9">
      <c r="A104" s="976">
        <f>IF(B104&gt;0,"./. Verpflegungsmehraufwand",0)</f>
        <v>0</v>
      </c>
      <c r="B104" s="1335">
        <f>SUM(C104:I104)</f>
        <v>0</v>
      </c>
      <c r="C104" s="1367">
        <f t="shared" ref="C104:I104" si="9">IF(AND(C114&gt;0,C54&lt;=400),0,IF(C70=0,0,C103))</f>
        <v>0</v>
      </c>
      <c r="D104" s="1367">
        <f t="shared" si="9"/>
        <v>0</v>
      </c>
      <c r="E104" s="1367">
        <f t="shared" si="9"/>
        <v>0</v>
      </c>
      <c r="F104" s="1367">
        <f t="shared" si="9"/>
        <v>0</v>
      </c>
      <c r="G104" s="1367">
        <f t="shared" si="9"/>
        <v>0</v>
      </c>
      <c r="H104" s="1367">
        <f t="shared" si="9"/>
        <v>0</v>
      </c>
      <c r="I104" s="1368">
        <f t="shared" si="9"/>
        <v>0</v>
      </c>
    </row>
    <row r="105" spans="1:9" hidden="1">
      <c r="A105" s="976"/>
      <c r="B105" s="522"/>
      <c r="C105" s="507">
        <f>IF(AND(Zusatzeingaben!C161&gt;0,Zusatzeingaben!C164=Zusatzeingaben!C161),0,Zusatzeingaben!C149)</f>
        <v>0</v>
      </c>
      <c r="D105" s="507">
        <f>IF(AND(Zusatzeingaben!D161&gt;0,Zusatzeingaben!D164=Zusatzeingaben!D161),0,Zusatzeingaben!D149)</f>
        <v>0</v>
      </c>
      <c r="E105" s="507">
        <f>IF(AND(Zusatzeingaben!E161&gt;0,Zusatzeingaben!E164=Zusatzeingaben!E161),0,Zusatzeingaben!E149)</f>
        <v>0</v>
      </c>
      <c r="F105" s="507">
        <f>IF(AND(Zusatzeingaben!F161&gt;0,Zusatzeingaben!F164=Zusatzeingaben!F161),0,Zusatzeingaben!F149)</f>
        <v>0</v>
      </c>
      <c r="G105" s="507">
        <f>IF(AND(Zusatzeingaben!G161&gt;0,Zusatzeingaben!G164=Zusatzeingaben!G161),0,Zusatzeingaben!G149)</f>
        <v>0</v>
      </c>
      <c r="H105" s="507">
        <f>IF(AND(Zusatzeingaben!H161&gt;0,Zusatzeingaben!H164=Zusatzeingaben!H161),0,Zusatzeingaben!H149)</f>
        <v>0</v>
      </c>
      <c r="I105" s="508">
        <f>IF(AND(Zusatzeingaben!I161&gt;0,Zusatzeingaben!I164=Zusatzeingaben!I161),0,Zusatzeingaben!I149)</f>
        <v>0</v>
      </c>
    </row>
    <row r="106" spans="1:9" hidden="1">
      <c r="A106" s="976"/>
      <c r="B106" s="522"/>
      <c r="C106" s="507">
        <f>IF(C113=0,Zusatzeingaben!C149,0)</f>
        <v>0</v>
      </c>
      <c r="D106" s="507">
        <f>IF(D113=0,Zusatzeingaben!D149,0)</f>
        <v>0</v>
      </c>
      <c r="E106" s="507">
        <f>IF(E113=0,Zusatzeingaben!E149,0)</f>
        <v>0</v>
      </c>
      <c r="F106" s="507">
        <f>IF(F113=0,Zusatzeingaben!F149,0)</f>
        <v>0</v>
      </c>
      <c r="G106" s="507">
        <f>IF(G113=0,Zusatzeingaben!G149,0)</f>
        <v>0</v>
      </c>
      <c r="H106" s="507">
        <f>IF(H113=0,Zusatzeingaben!H149,0)</f>
        <v>0</v>
      </c>
      <c r="I106" s="508">
        <f>IF(I113=0,Zusatzeingaben!I149,0)</f>
        <v>0</v>
      </c>
    </row>
    <row r="107" spans="1:9" hidden="1">
      <c r="A107" s="1341"/>
      <c r="B107" s="522"/>
      <c r="C107" s="507">
        <f t="shared" ref="C107:I107" si="10">IF(C106&gt;0,C106,C105)</f>
        <v>0</v>
      </c>
      <c r="D107" s="507">
        <f t="shared" si="10"/>
        <v>0</v>
      </c>
      <c r="E107" s="507">
        <f t="shared" si="10"/>
        <v>0</v>
      </c>
      <c r="F107" s="507">
        <f t="shared" si="10"/>
        <v>0</v>
      </c>
      <c r="G107" s="507">
        <f t="shared" si="10"/>
        <v>0</v>
      </c>
      <c r="H107" s="507">
        <f t="shared" si="10"/>
        <v>0</v>
      </c>
      <c r="I107" s="508">
        <f t="shared" si="10"/>
        <v>0</v>
      </c>
    </row>
    <row r="108" spans="1:9">
      <c r="A108" s="1339">
        <f>IF(B108&gt;0,"./. Werbungskosten bei Erwerbstätigkeit",0)</f>
        <v>0</v>
      </c>
      <c r="B108" s="1335">
        <f>SUM(C108:I108)</f>
        <v>0</v>
      </c>
      <c r="C108" s="507">
        <f>IF(AND(C114&gt;0,C54&lt;=400),0,IF(AND(C58&gt;200,Zusatzeingaben!C159&gt;Zusatzeingaben!C157),Zusatzeingaben!C148,IF(AND($A$57="Gewinn aus selbständiger Tätigkeit",C57&gt;0),0,IF(AND(C54&lt;100,C58&lt;200,C69&gt;0),0,C107))))</f>
        <v>0</v>
      </c>
      <c r="D108" s="507">
        <f>IF(AND(D114&gt;0,D54&lt;=400),0,IF(AND(D58&gt;200,Zusatzeingaben!D159&gt;Zusatzeingaben!D157),Zusatzeingaben!D148,IF(AND($A$57="Gewinn aus selbständiger Tätigkeit",D57&gt;0),0,IF(AND(D54&lt;100,D58&lt;200,D69&gt;0),0,D107))))</f>
        <v>0</v>
      </c>
      <c r="E108" s="507">
        <f>IF(AND(E114&gt;0,E54&lt;=400),0,IF(AND(E58&gt;200,Zusatzeingaben!E159&gt;Zusatzeingaben!E157),Zusatzeingaben!E148,IF(AND($A$57="Gewinn aus selbständiger Tätigkeit",E57&gt;0),0,IF(AND(E54&lt;100,E58&lt;200,E69&gt;0),0,E107))))</f>
        <v>0</v>
      </c>
      <c r="F108" s="507">
        <f>IF(AND(F114&gt;0,F54&lt;=400),0,IF(AND(F58&gt;200,Zusatzeingaben!F159&gt;Zusatzeingaben!F157),Zusatzeingaben!F148,IF(AND($A$57="Gewinn aus selbständiger Tätigkeit",F57&gt;0),0,IF(AND(F54&lt;100,F58&lt;200,F69&gt;0),0,F107))))</f>
        <v>0</v>
      </c>
      <c r="G108" s="507">
        <f>IF(AND(G114&gt;0,G54&lt;=400),0,IF(AND(G58&gt;200,Zusatzeingaben!G159&gt;Zusatzeingaben!G157),Zusatzeingaben!G148,IF(AND($A$57="Gewinn aus selbständiger Tätigkeit",G57&gt;0),0,IF(AND(G54&lt;100,G58&lt;200,G69&gt;0),0,G107))))</f>
        <v>0</v>
      </c>
      <c r="H108" s="507">
        <f>IF(AND(H114&gt;0,H54&lt;=400),0,IF(AND(H58&gt;200,Zusatzeingaben!H159&gt;Zusatzeingaben!H157),Zusatzeingaben!H148,IF(AND($A$57="Gewinn aus selbständiger Tätigkeit",H57&gt;0),0,IF(AND(H54&lt;100,H58&lt;200,H69&gt;0),0,H107))))</f>
        <v>0</v>
      </c>
      <c r="I108" s="508">
        <f>IF(AND(I114&gt;0,I54&lt;=400),0,IF(AND(I58&gt;200,Zusatzeingaben!I159&gt;Zusatzeingaben!I157),Zusatzeingaben!I148,IF(AND($A$57="Gewinn aus selbständiger Tätigkeit",I57&gt;0),0,IF(AND(I54&lt;100,I58&lt;200,I69&gt;0),0,I107))))</f>
        <v>0</v>
      </c>
    </row>
    <row r="109" spans="1:9">
      <c r="A109" s="1339">
        <f>IF(B109&gt;0,"./. notwendige Ausgaben",0)</f>
        <v>0</v>
      </c>
      <c r="B109" s="1335">
        <f>SUM(C109:I109)</f>
        <v>0</v>
      </c>
      <c r="C109" s="507">
        <f>Zusatzeingaben!C218</f>
        <v>0</v>
      </c>
      <c r="D109" s="507">
        <f>Zusatzeingaben!D218</f>
        <v>0</v>
      </c>
      <c r="E109" s="507">
        <f>Zusatzeingaben!E218</f>
        <v>0</v>
      </c>
      <c r="F109" s="507">
        <f>Zusatzeingaben!F218</f>
        <v>0</v>
      </c>
      <c r="G109" s="507">
        <f>Zusatzeingaben!G218</f>
        <v>0</v>
      </c>
      <c r="H109" s="507">
        <f>Zusatzeingaben!H218</f>
        <v>0</v>
      </c>
      <c r="I109" s="508">
        <f>Zusatzeingaben!I218</f>
        <v>0</v>
      </c>
    </row>
    <row r="110" spans="1:9" ht="16.5" hidden="1" customHeight="1">
      <c r="A110" s="1341"/>
      <c r="B110" s="522"/>
      <c r="C110" s="522">
        <f>IF(Zusatzeingaben!C161&gt;200,0,Zusatzeingaben!C161)</f>
        <v>0</v>
      </c>
      <c r="D110" s="522">
        <f>IF(Zusatzeingaben!D161&gt;200,0,Zusatzeingaben!D161)</f>
        <v>0</v>
      </c>
      <c r="E110" s="522">
        <f>IF(Zusatzeingaben!E161&gt;200,0,Zusatzeingaben!E161)</f>
        <v>0</v>
      </c>
      <c r="F110" s="522">
        <f>IF(Zusatzeingaben!F161&gt;200,0,Zusatzeingaben!F161)</f>
        <v>0</v>
      </c>
      <c r="G110" s="522">
        <f>IF(Zusatzeingaben!G161&gt;200,0,Zusatzeingaben!G161)</f>
        <v>0</v>
      </c>
      <c r="H110" s="522">
        <f>IF(Zusatzeingaben!H161&gt;200,0,Zusatzeingaben!H161)</f>
        <v>0</v>
      </c>
      <c r="I110" s="523">
        <f>IF(Zusatzeingaben!I161&gt;200,0,Zusatzeingaben!I161)</f>
        <v>0</v>
      </c>
    </row>
    <row r="111" spans="1:9" ht="16.5" hidden="1" customHeight="1">
      <c r="A111" s="1341"/>
      <c r="B111" s="522"/>
      <c r="C111" s="522">
        <f>IF(AND(Zusatzeingaben!C131+Zusatzeingaben!C139&gt;400,Zusatzeingaben!C160&gt;100,Zusatzeingaben!C138&gt;0,Zusatzeingaben!C159+100&gt;Zusatzeingaben!C160),Zusatzeingaben!C159+100,IF(OR(Zusatzeingaben!C153&gt;100,Zusatzeingaben!C156&gt;100),0,IF(AND(Zusatzeingaben!C180&gt;0,Zusatzeingaben!C191&gt;100+Zusatzeingaben!C190),0,C110)))</f>
        <v>0</v>
      </c>
      <c r="D111" s="522">
        <f>IF(AND(Zusatzeingaben!D131+Zusatzeingaben!D139&gt;400,Zusatzeingaben!D160&gt;100,Zusatzeingaben!D138&gt;0,Zusatzeingaben!D159+100&gt;Zusatzeingaben!D160),Zusatzeingaben!D159+100,IF(OR(Zusatzeingaben!D153&gt;100,Zusatzeingaben!D156&gt;100),0,IF(AND(Zusatzeingaben!D180&gt;0,Zusatzeingaben!D191&gt;100+Zusatzeingaben!D190),0,D110)))</f>
        <v>0</v>
      </c>
      <c r="E111" s="522">
        <f>IF(AND(Zusatzeingaben!E131+Zusatzeingaben!E139&gt;400,Zusatzeingaben!E160&gt;100,Zusatzeingaben!E138&gt;0,Zusatzeingaben!E159+100&gt;Zusatzeingaben!E160),Zusatzeingaben!E159+100,IF(OR(Zusatzeingaben!E153&gt;100,Zusatzeingaben!E156&gt;100),0,IF(AND(Zusatzeingaben!E180&gt;0,Zusatzeingaben!E191&gt;100+Zusatzeingaben!E190),0,E110)))</f>
        <v>0</v>
      </c>
      <c r="F111" s="522">
        <f>IF(AND(Zusatzeingaben!F131+Zusatzeingaben!F139&gt;400,Zusatzeingaben!F160&gt;100,Zusatzeingaben!F138&gt;0,Zusatzeingaben!F159+100&gt;Zusatzeingaben!F160),Zusatzeingaben!F159+100,IF(OR(Zusatzeingaben!F153&gt;100,Zusatzeingaben!F156&gt;100),0,IF(AND(Zusatzeingaben!F180&gt;0,Zusatzeingaben!F191&gt;100+Zusatzeingaben!F190),0,F110)))</f>
        <v>0</v>
      </c>
      <c r="G111" s="522">
        <f>IF(AND(Zusatzeingaben!G131+Zusatzeingaben!G139&gt;400,Zusatzeingaben!G160&gt;100,Zusatzeingaben!G138&gt;0,Zusatzeingaben!G159+100&gt;Zusatzeingaben!G160),Zusatzeingaben!G159+100,IF(OR(Zusatzeingaben!G153&gt;100,Zusatzeingaben!G156&gt;100),0,IF(AND(Zusatzeingaben!G180&gt;0,Zusatzeingaben!G191&gt;100+Zusatzeingaben!G190),0,G110)))</f>
        <v>0</v>
      </c>
      <c r="H111" s="522">
        <f>IF(AND(Zusatzeingaben!H131+Zusatzeingaben!H139&gt;400,Zusatzeingaben!H160&gt;100,Zusatzeingaben!H138&gt;0,Zusatzeingaben!H159+100&gt;Zusatzeingaben!H160),Zusatzeingaben!H159+100,IF(OR(Zusatzeingaben!H153&gt;100,Zusatzeingaben!H156&gt;100),0,IF(AND(Zusatzeingaben!H180&gt;0,Zusatzeingaben!H191&gt;100+Zusatzeingaben!H190),0,H110)))</f>
        <v>0</v>
      </c>
      <c r="I111" s="523">
        <f>IF(AND(Zusatzeingaben!I131+Zusatzeingaben!I139&gt;400,Zusatzeingaben!I160&gt;100,Zusatzeingaben!I138&gt;0,Zusatzeingaben!I159+100&gt;Zusatzeingaben!I160),Zusatzeingaben!I159+100,IF(OR(Zusatzeingaben!I153&gt;100,Zusatzeingaben!I156&gt;100),0,IF(AND(Zusatzeingaben!I180&gt;0,Zusatzeingaben!I191&gt;100+Zusatzeingaben!I190),0,I110)))</f>
        <v>0</v>
      </c>
    </row>
    <row r="112" spans="1:9" ht="16.5" hidden="1" customHeight="1">
      <c r="A112" s="1341"/>
      <c r="B112" s="522"/>
      <c r="C112" s="522">
        <f>IF(OR(Zusatzeingaben!C161=100,Zusatzeingaben!C161=200),Zusatzeingaben!C161,C111)</f>
        <v>0</v>
      </c>
      <c r="D112" s="522">
        <f>IF(OR(Zusatzeingaben!D161=100,Zusatzeingaben!D161=200),Zusatzeingaben!D161,D111)</f>
        <v>0</v>
      </c>
      <c r="E112" s="522">
        <f>IF(OR(Zusatzeingaben!E161=100,Zusatzeingaben!E161=200),Zusatzeingaben!E161,E111)</f>
        <v>0</v>
      </c>
      <c r="F112" s="522">
        <f>IF(OR(Zusatzeingaben!F161=100,Zusatzeingaben!F161=200),Zusatzeingaben!F161,F111)</f>
        <v>0</v>
      </c>
      <c r="G112" s="522">
        <f>IF(OR(Zusatzeingaben!G161=100,Zusatzeingaben!G161=200),Zusatzeingaben!G161,G111)</f>
        <v>0</v>
      </c>
      <c r="H112" s="522">
        <f>IF(OR(Zusatzeingaben!H161=100,Zusatzeingaben!H161=200),Zusatzeingaben!H161,H111)</f>
        <v>0</v>
      </c>
      <c r="I112" s="523">
        <f>IF(OR(Zusatzeingaben!I161=100,Zusatzeingaben!I161=200),Zusatzeingaben!I161,I111)</f>
        <v>0</v>
      </c>
    </row>
    <row r="113" spans="1:64" ht="16.5" customHeight="1">
      <c r="A113" s="976">
        <f>IF(B113&gt;0,"./. Grundfreibetrag Lohn / Ehrenamt",0)</f>
        <v>0</v>
      </c>
      <c r="B113" s="1335">
        <f>SUM(C113:I113)</f>
        <v>0</v>
      </c>
      <c r="C113" s="522">
        <f>IF(AND(Zusatzeingaben!C180&gt;0,Zusatzeingaben!C180&lt;Zusatzeingaben!C191),C112,IF(AND(Zusatzeingaben!C180&gt;0,C111=0,Zusatzeingaben!C191&gt;100),0,IF(C110&lt;100,C110,C112)))</f>
        <v>0</v>
      </c>
      <c r="D113" s="522">
        <f>IF(AND(Zusatzeingaben!D180&gt;0,Zusatzeingaben!D180&lt;Zusatzeingaben!D191),D112,IF(AND(Zusatzeingaben!D180&gt;0,D111=0,Zusatzeingaben!D191&gt;100),0,IF(D110&lt;100,D110,D112)))</f>
        <v>0</v>
      </c>
      <c r="E113" s="522">
        <f>IF(AND(Zusatzeingaben!E180&gt;0,Zusatzeingaben!E180&lt;Zusatzeingaben!E191),E112,IF(AND(Zusatzeingaben!E180&gt;0,E111=0,Zusatzeingaben!E191&gt;100),0,IF(E110&lt;100,E110,E112)))</f>
        <v>0</v>
      </c>
      <c r="F113" s="522">
        <f>IF(AND(Zusatzeingaben!F180&gt;0,Zusatzeingaben!F180&lt;Zusatzeingaben!F191),F112,IF(AND(Zusatzeingaben!F180&gt;0,F111=0,Zusatzeingaben!F191&gt;100),0,IF(F110&lt;100,F110,F112)))</f>
        <v>0</v>
      </c>
      <c r="G113" s="522">
        <f>IF(AND(Zusatzeingaben!G180&gt;0,Zusatzeingaben!G180&lt;Zusatzeingaben!G191),G112,IF(AND(Zusatzeingaben!G180&gt;0,G111=0,Zusatzeingaben!G191&gt;100),0,IF(G110&lt;100,G110,G112)))</f>
        <v>0</v>
      </c>
      <c r="H113" s="522">
        <f>IF(AND(Zusatzeingaben!H180&gt;0,Zusatzeingaben!H180&lt;Zusatzeingaben!H191),H112,IF(AND(Zusatzeingaben!H180&gt;0,H111=0,Zusatzeingaben!H191&gt;100),0,IF(H110&lt;100,H110,H112)))</f>
        <v>0</v>
      </c>
      <c r="I113" s="523">
        <f>IF(AND(Zusatzeingaben!I180&gt;0,Zusatzeingaben!I180&lt;Zusatzeingaben!I191),I112,IF(AND(Zusatzeingaben!I180&gt;0,I111=0,Zusatzeingaben!I191&gt;100),0,IF(I110&lt;100,I110,I112)))</f>
        <v>0</v>
      </c>
    </row>
    <row r="114" spans="1:64" ht="16.5" customHeight="1">
      <c r="A114" s="976">
        <f>IF(B114&gt;0,"./. Freibetrag Freiwilligendienste",0)</f>
        <v>0</v>
      </c>
      <c r="B114" s="1335">
        <f>SUM(C114:I114)</f>
        <v>0</v>
      </c>
      <c r="C114" s="522">
        <f>Zusatzeingaben!C173</f>
        <v>0</v>
      </c>
      <c r="D114" s="522">
        <f>Zusatzeingaben!D173</f>
        <v>0</v>
      </c>
      <c r="E114" s="522">
        <f>Zusatzeingaben!E173</f>
        <v>0</v>
      </c>
      <c r="F114" s="522">
        <f>Zusatzeingaben!F173</f>
        <v>0</v>
      </c>
      <c r="G114" s="522">
        <f>Zusatzeingaben!G173</f>
        <v>0</v>
      </c>
      <c r="H114" s="522">
        <f>Zusatzeingaben!H173</f>
        <v>0</v>
      </c>
      <c r="I114" s="523">
        <f>Zusatzeingaben!I173</f>
        <v>0</v>
      </c>
    </row>
    <row r="115" spans="1:64" ht="16.5" hidden="1" customHeight="1">
      <c r="A115" s="1339"/>
      <c r="B115" s="522"/>
      <c r="C115" s="522">
        <f>IF(AND(Zusatzeingaben!C197&gt;0,C58=0),C54*0.3,IF(AND(Zusatzeingaben!C34="nein",C58=0),C54*0.3,0))</f>
        <v>0</v>
      </c>
      <c r="D115" s="522">
        <f>IF(AND(Zusatzeingaben!D197&gt;0,D58=0),D54*0.3,IF(AND(Zusatzeingaben!D34="nein",D58=0),D54*0.3,0))</f>
        <v>0</v>
      </c>
      <c r="E115" s="522">
        <f>IF(AND(Zusatzeingaben!E18&gt;14,Zusatzeingaben!E34="nein",E58=0),E54*0.3,0)</f>
        <v>0</v>
      </c>
      <c r="F115" s="522">
        <f>IF(AND(Zusatzeingaben!F18&gt;14,Zusatzeingaben!F34="nein",F58=0),F54*0.3,0)</f>
        <v>0</v>
      </c>
      <c r="G115" s="522">
        <f>IF(AND(Zusatzeingaben!G18&gt;14,Zusatzeingaben!G34="nein",G58=0),G54*0.3,0)</f>
        <v>0</v>
      </c>
      <c r="H115" s="522">
        <f>IF(AND(Zusatzeingaben!H18&gt;14,Zusatzeingaben!H34="nein",H58=0),H54*0.3,0)</f>
        <v>0</v>
      </c>
      <c r="I115" s="523">
        <f>IF(AND(Zusatzeingaben!I18&gt;14,Zusatzeingaben!I34="nein",I58=0),I54*0.3,0)</f>
        <v>0</v>
      </c>
      <c r="J115" s="1080"/>
      <c r="K115" s="1080"/>
      <c r="L115" s="1080"/>
      <c r="M115" s="1080"/>
      <c r="N115" s="1080"/>
      <c r="O115" s="1080"/>
      <c r="P115" s="1080"/>
      <c r="Q115" s="1080"/>
      <c r="R115" s="1080"/>
      <c r="S115" s="1080"/>
      <c r="T115" s="1080"/>
      <c r="U115" s="1080"/>
      <c r="V115" s="1080"/>
      <c r="W115" s="1080"/>
      <c r="X115" s="1080"/>
      <c r="Y115" s="1080"/>
      <c r="Z115" s="1080"/>
      <c r="AA115" s="1080"/>
      <c r="AB115" s="1080"/>
      <c r="AC115" s="1080"/>
      <c r="AD115" s="1080"/>
      <c r="AE115" s="1080"/>
      <c r="AF115" s="1080"/>
      <c r="AG115" s="1080"/>
      <c r="AH115" s="1080"/>
      <c r="AI115" s="1080"/>
      <c r="AJ115" s="1080"/>
      <c r="AK115" s="1080"/>
      <c r="AL115" s="1080"/>
      <c r="AM115" s="1080"/>
      <c r="AN115" s="1080"/>
      <c r="AO115" s="1080"/>
      <c r="AP115" s="1080"/>
      <c r="AQ115" s="1080"/>
      <c r="AR115" s="1080"/>
      <c r="AS115" s="1080"/>
      <c r="AT115" s="1080"/>
      <c r="AU115" s="1080"/>
      <c r="AV115" s="1080"/>
      <c r="AW115" s="1080"/>
      <c r="AX115" s="1080"/>
      <c r="AY115" s="1080"/>
      <c r="AZ115" s="1080"/>
      <c r="BA115" s="1080"/>
      <c r="BB115" s="1080"/>
      <c r="BC115" s="1080"/>
      <c r="BD115" s="1080"/>
      <c r="BE115" s="1080"/>
      <c r="BF115" s="1080"/>
      <c r="BG115" s="1080"/>
      <c r="BH115" s="1080"/>
      <c r="BI115" s="1080"/>
      <c r="BJ115" s="1080"/>
      <c r="BK115" s="1080"/>
      <c r="BL115" s="1080"/>
    </row>
    <row r="116" spans="1:64" ht="16.5" hidden="1" customHeight="1">
      <c r="A116" s="1339"/>
      <c r="B116" s="522"/>
      <c r="C116" s="522">
        <f>IF(AND(Zusatzeingaben!C197&gt;0,C115=0,C58&gt;0),0,IF(AND(Zusatzeingaben!C34="nein",C115=0,C58&gt;0),0,IF(C115&gt;0,MIN(C115,Zusatzeingaben!$C$233*0.5),D190)))</f>
        <v>0</v>
      </c>
      <c r="D116" s="522">
        <f>IF(AND(Zusatzeingaben!D197&gt;0,D115=0,D58&gt;0),0,IF(AND(Zusatzeingaben!D34="nein",D115=0,D58&gt;0),0,IF(D115&gt;0,MIN(D115,Zusatzeingaben!$C$233*0.5),D195)))</f>
        <v>0</v>
      </c>
      <c r="E116" s="522">
        <f>IF(AND(Zusatzeingaben!E18&gt;14,Zusatzeingaben!E34="nein",E115=0,E58&gt;0),0,IF(Zusatzeingaben!E18&lt;15,0,IF(E115&gt;0,MIN(E115,Zusatzeingaben!$C$233*0.5),D200)))</f>
        <v>0</v>
      </c>
      <c r="F116" s="522">
        <f>IF(AND(Zusatzeingaben!F18&gt;14,Zusatzeingaben!F34="nein",F115=0,F58&gt;0),0,IF(Zusatzeingaben!F18&lt;15,0,IF(F115&gt;0,MIN(F115,Zusatzeingaben!$C$233*0.5),D205)))</f>
        <v>0</v>
      </c>
      <c r="G116" s="522">
        <f>IF(AND(Zusatzeingaben!G18&gt;14,Zusatzeingaben!G34="nein",G115=0,G58&gt;0),0,IF(Zusatzeingaben!G18&lt;15,0,IF(G115&gt;0,MIN(G115,Zusatzeingaben!$C$233*0.5),D210)))</f>
        <v>0</v>
      </c>
      <c r="H116" s="522">
        <f>IF(AND(Zusatzeingaben!H18&gt;14,Zusatzeingaben!H34="nein",H115=0,H58&gt;0),0,IF(Zusatzeingaben!H18&lt;15,0,IF(H115&gt;0,MIN(H115,Zusatzeingaben!$C$233*0.5),D215)))</f>
        <v>0</v>
      </c>
      <c r="I116" s="523">
        <f>IF(AND(Zusatzeingaben!I18&gt;14,Zusatzeingaben!I34="nein",I115=0,I58&gt;0),0,IF(Zusatzeingaben!I18&lt;15,0,IF(I115&gt;0,MIN(I115,Zusatzeingaben!$C$233*0.5),D220)))</f>
        <v>0</v>
      </c>
      <c r="J116" s="1080"/>
      <c r="K116" s="1080"/>
      <c r="L116" s="1080"/>
      <c r="M116" s="1080"/>
      <c r="N116" s="1080"/>
      <c r="O116" s="1080"/>
      <c r="P116" s="1080"/>
      <c r="Q116" s="1080"/>
      <c r="R116" s="1080"/>
      <c r="S116" s="1080"/>
      <c r="T116" s="1080"/>
      <c r="U116" s="1080"/>
      <c r="V116" s="1080"/>
      <c r="W116" s="1080"/>
      <c r="X116" s="1080"/>
      <c r="Y116" s="1080"/>
      <c r="Z116" s="1080"/>
      <c r="AA116" s="1080"/>
      <c r="AB116" s="1080"/>
      <c r="AC116" s="1080"/>
      <c r="AD116" s="1080"/>
      <c r="AE116" s="1080"/>
      <c r="AF116" s="1080"/>
      <c r="AG116" s="1080"/>
      <c r="AH116" s="1080"/>
      <c r="AI116" s="1080"/>
      <c r="AJ116" s="1080"/>
      <c r="AK116" s="1080"/>
      <c r="AL116" s="1080"/>
      <c r="AM116" s="1080"/>
      <c r="AN116" s="1080"/>
      <c r="AO116" s="1080"/>
      <c r="AP116" s="1080"/>
      <c r="AQ116" s="1080"/>
      <c r="AR116" s="1080"/>
      <c r="AS116" s="1080"/>
      <c r="AT116" s="1080"/>
      <c r="AU116" s="1080"/>
      <c r="AV116" s="1080"/>
      <c r="AW116" s="1080"/>
      <c r="AX116" s="1080"/>
      <c r="AY116" s="1080"/>
      <c r="AZ116" s="1080"/>
      <c r="BA116" s="1080"/>
      <c r="BB116" s="1080"/>
      <c r="BC116" s="1080"/>
      <c r="BD116" s="1080"/>
      <c r="BE116" s="1080"/>
      <c r="BF116" s="1080"/>
      <c r="BG116" s="1080"/>
      <c r="BH116" s="1080"/>
      <c r="BI116" s="1080"/>
      <c r="BJ116" s="1080"/>
      <c r="BK116" s="1080"/>
      <c r="BL116" s="1080"/>
    </row>
    <row r="117" spans="1:64" ht="16.5" customHeight="1">
      <c r="A117" s="1339">
        <f>IF(B117&gt;0,"./. Freibetrag bei Erwerbstätigkeit",0)</f>
        <v>0</v>
      </c>
      <c r="B117" s="1335">
        <f t="shared" ref="B117:B122" si="11">SUM(C117:I117)</f>
        <v>0</v>
      </c>
      <c r="C117" s="522">
        <f t="shared" ref="C117:I117" si="12">IF(C54+C58-C113=0,0,IF(C54+C58-C113-C116&lt;0,C54+C58-C113,C116))</f>
        <v>0</v>
      </c>
      <c r="D117" s="522">
        <f t="shared" si="12"/>
        <v>0</v>
      </c>
      <c r="E117" s="522">
        <f t="shared" si="12"/>
        <v>0</v>
      </c>
      <c r="F117" s="522">
        <f t="shared" si="12"/>
        <v>0</v>
      </c>
      <c r="G117" s="522">
        <f t="shared" si="12"/>
        <v>0</v>
      </c>
      <c r="H117" s="522">
        <f t="shared" si="12"/>
        <v>0</v>
      </c>
      <c r="I117" s="523">
        <f t="shared" si="12"/>
        <v>0</v>
      </c>
      <c r="J117" s="1080"/>
      <c r="K117" s="1080"/>
      <c r="L117" s="1080"/>
      <c r="M117" s="1080"/>
      <c r="N117" s="1080"/>
      <c r="O117" s="1080"/>
      <c r="P117" s="1080"/>
      <c r="Q117" s="1080"/>
      <c r="R117" s="1080"/>
      <c r="S117" s="1080"/>
      <c r="T117" s="1080"/>
      <c r="U117" s="1080"/>
      <c r="V117" s="1080"/>
      <c r="W117" s="1080"/>
      <c r="X117" s="1080"/>
      <c r="Y117" s="1080"/>
      <c r="Z117" s="1080"/>
      <c r="AA117" s="1080"/>
      <c r="AB117" s="1080"/>
      <c r="AC117" s="1080"/>
      <c r="AD117" s="1080"/>
      <c r="AE117" s="1080"/>
      <c r="AF117" s="1080"/>
      <c r="AG117" s="1080"/>
      <c r="AH117" s="1080"/>
      <c r="AI117" s="1080"/>
      <c r="AJ117" s="1080"/>
      <c r="AK117" s="1080"/>
      <c r="AL117" s="1080"/>
      <c r="AM117" s="1080"/>
      <c r="AN117" s="1080"/>
      <c r="AO117" s="1080"/>
      <c r="AP117" s="1080"/>
      <c r="AQ117" s="1080"/>
      <c r="AR117" s="1080"/>
      <c r="AS117" s="1080"/>
      <c r="AT117" s="1080"/>
      <c r="AU117" s="1080"/>
      <c r="AV117" s="1080"/>
      <c r="AW117" s="1080"/>
      <c r="AX117" s="1080"/>
      <c r="AY117" s="1080"/>
      <c r="AZ117" s="1080"/>
      <c r="BA117" s="1080"/>
      <c r="BB117" s="1080"/>
      <c r="BC117" s="1080"/>
      <c r="BD117" s="1080"/>
      <c r="BE117" s="1080"/>
      <c r="BF117" s="1080"/>
      <c r="BG117" s="1080"/>
      <c r="BH117" s="1080"/>
      <c r="BI117" s="1080"/>
      <c r="BJ117" s="1080"/>
      <c r="BK117" s="1080"/>
      <c r="BL117" s="1080"/>
    </row>
    <row r="118" spans="1:64" ht="16.5" customHeight="1">
      <c r="A118" s="1339">
        <f>IF(B118&gt;0,"./. Unterhaltsverpflichtungen",0)</f>
        <v>0</v>
      </c>
      <c r="B118" s="1335">
        <f t="shared" si="11"/>
        <v>0</v>
      </c>
      <c r="C118" s="522">
        <f>IF(C70=0,0,Zusatzeingaben!C219)</f>
        <v>0</v>
      </c>
      <c r="D118" s="522">
        <f>IF(D70=0,0,Zusatzeingaben!D219)</f>
        <v>0</v>
      </c>
      <c r="E118" s="522">
        <f>IF(E70=0,0,Zusatzeingaben!E219)</f>
        <v>0</v>
      </c>
      <c r="F118" s="522">
        <f>IF(F70=0,0,Zusatzeingaben!F219)</f>
        <v>0</v>
      </c>
      <c r="G118" s="522">
        <f>IF(G70=0,0,Zusatzeingaben!G219)</f>
        <v>0</v>
      </c>
      <c r="H118" s="522">
        <f>IF(H70=0,0,Zusatzeingaben!H219)</f>
        <v>0</v>
      </c>
      <c r="I118" s="523">
        <f>IF(I70=0,0,Zusatzeingaben!I219)</f>
        <v>0</v>
      </c>
      <c r="J118" s="1080"/>
      <c r="K118" s="1080"/>
      <c r="L118" s="1080"/>
      <c r="M118" s="1080"/>
      <c r="N118" s="1080"/>
      <c r="O118" s="1080"/>
      <c r="P118" s="1080"/>
      <c r="Q118" s="1080"/>
      <c r="R118" s="1080"/>
      <c r="S118" s="1080"/>
      <c r="T118" s="1080"/>
      <c r="U118" s="1080"/>
      <c r="V118" s="1080"/>
      <c r="W118" s="1080"/>
      <c r="X118" s="1080"/>
      <c r="Y118" s="1080"/>
      <c r="Z118" s="1080"/>
      <c r="AA118" s="1080"/>
      <c r="AB118" s="1080"/>
      <c r="AC118" s="1080"/>
      <c r="AD118" s="1080"/>
      <c r="AE118" s="1080"/>
      <c r="AF118" s="1080"/>
      <c r="AG118" s="1080"/>
      <c r="AH118" s="1080"/>
      <c r="AI118" s="1080"/>
      <c r="AJ118" s="1080"/>
      <c r="AK118" s="1080"/>
      <c r="AL118" s="1080"/>
      <c r="AM118" s="1080"/>
      <c r="AN118" s="1080"/>
      <c r="AO118" s="1080"/>
      <c r="AP118" s="1080"/>
      <c r="AQ118" s="1080"/>
      <c r="AR118" s="1080"/>
      <c r="AS118" s="1080"/>
      <c r="AT118" s="1080"/>
      <c r="AU118" s="1080"/>
      <c r="AV118" s="1080"/>
      <c r="AW118" s="1080"/>
      <c r="AX118" s="1080"/>
      <c r="AY118" s="1080"/>
      <c r="AZ118" s="1080"/>
      <c r="BA118" s="1080"/>
      <c r="BB118" s="1080"/>
      <c r="BC118" s="1080"/>
      <c r="BD118" s="1080"/>
      <c r="BE118" s="1080"/>
      <c r="BF118" s="1080"/>
      <c r="BG118" s="1080"/>
      <c r="BH118" s="1080"/>
      <c r="BI118" s="1080"/>
      <c r="BJ118" s="1080"/>
      <c r="BK118" s="1080"/>
      <c r="BL118" s="1080"/>
    </row>
    <row r="119" spans="1:64" ht="16.5" customHeight="1">
      <c r="A119" s="1369">
        <f>IF(B119&gt;0,"./. Elterngeldfreibetrag",0)</f>
        <v>0</v>
      </c>
      <c r="B119" s="1335">
        <f t="shared" si="11"/>
        <v>0</v>
      </c>
      <c r="C119" s="522">
        <f>Zusatzeingaben!C179</f>
        <v>0</v>
      </c>
      <c r="D119" s="522">
        <f>Zusatzeingaben!D179</f>
        <v>0</v>
      </c>
      <c r="E119" s="522"/>
      <c r="F119" s="522"/>
      <c r="G119" s="1361"/>
      <c r="H119" s="1361"/>
      <c r="I119" s="1370"/>
      <c r="J119" s="1080"/>
      <c r="K119" s="1080"/>
      <c r="L119" s="1080"/>
      <c r="M119" s="1080"/>
      <c r="N119" s="1080"/>
      <c r="O119" s="1080"/>
      <c r="P119" s="1080"/>
      <c r="Q119" s="1080"/>
      <c r="R119" s="1080"/>
      <c r="S119" s="1080"/>
      <c r="T119" s="1080"/>
      <c r="U119" s="1080"/>
      <c r="V119" s="1080"/>
      <c r="W119" s="1080"/>
      <c r="X119" s="1080"/>
      <c r="Y119" s="1080"/>
      <c r="Z119" s="1080"/>
      <c r="AA119" s="1080"/>
      <c r="AB119" s="1080"/>
      <c r="AC119" s="1080"/>
      <c r="AD119" s="1080"/>
      <c r="AE119" s="1080"/>
      <c r="AF119" s="1080"/>
      <c r="AG119" s="1080"/>
      <c r="AH119" s="1080"/>
      <c r="AI119" s="1080"/>
      <c r="AJ119" s="1080"/>
      <c r="AK119" s="1080"/>
      <c r="AL119" s="1080"/>
      <c r="AM119" s="1080"/>
      <c r="AN119" s="1080"/>
      <c r="AO119" s="1080"/>
      <c r="AP119" s="1080"/>
      <c r="AQ119" s="1080"/>
      <c r="AR119" s="1080"/>
      <c r="AS119" s="1080"/>
      <c r="AT119" s="1080"/>
      <c r="AU119" s="1080"/>
      <c r="AV119" s="1080"/>
      <c r="AW119" s="1080"/>
      <c r="AX119" s="1080"/>
      <c r="AY119" s="1080"/>
      <c r="AZ119" s="1080"/>
      <c r="BA119" s="1080"/>
      <c r="BB119" s="1080"/>
      <c r="BC119" s="1080"/>
      <c r="BD119" s="1080"/>
      <c r="BE119" s="1080"/>
      <c r="BF119" s="1080"/>
      <c r="BG119" s="1080"/>
      <c r="BH119" s="1080"/>
      <c r="BI119" s="1080"/>
      <c r="BJ119" s="1080"/>
      <c r="BK119" s="1080"/>
      <c r="BL119" s="1080"/>
    </row>
    <row r="120" spans="1:64" ht="18" customHeight="1">
      <c r="A120" s="1606">
        <f>IF(AND(B120&gt;0,C120=Zusatzeingaben!C189),"./. Grundfreibetrag Ausbildungsförderung",IF(AND(B120&gt;0,C120=Zusatzeingaben!C190),"./. Ausgaben für die Ausbildung",0))</f>
        <v>0</v>
      </c>
      <c r="B120" s="1357">
        <f t="shared" si="11"/>
        <v>0</v>
      </c>
      <c r="C120" s="1024">
        <f>IF(Zusatzeingaben!C191&gt;100,Zusatzeingaben!C190,IF(AND(Zusatzeingaben!C190&gt;0,Zusatzeingaben!C190&gt;Zusatzeingaben!C189),Zusatzeingaben!C190,Zusatzeingaben!C189))</f>
        <v>0</v>
      </c>
      <c r="D120" s="1024">
        <f>IF(Zusatzeingaben!D191&gt;100,Zusatzeingaben!D190,IF(AND(Zusatzeingaben!D190&gt;0,Zusatzeingaben!D190&gt;Zusatzeingaben!D189),Zusatzeingaben!D190,Zusatzeingaben!D189))</f>
        <v>0</v>
      </c>
      <c r="E120" s="1024">
        <f>IF(Zusatzeingaben!E191&gt;100,Zusatzeingaben!E190,IF(AND(Zusatzeingaben!E190&gt;0,Zusatzeingaben!E190&gt;Zusatzeingaben!E189),Zusatzeingaben!E190,Zusatzeingaben!E189))</f>
        <v>0</v>
      </c>
      <c r="F120" s="1024">
        <f>IF(Zusatzeingaben!F191&gt;100,Zusatzeingaben!F190,IF(AND(Zusatzeingaben!F190&gt;0,Zusatzeingaben!F190&gt;Zusatzeingaben!F189),Zusatzeingaben!F190,Zusatzeingaben!F189))</f>
        <v>0</v>
      </c>
      <c r="G120" s="1024">
        <f>IF(Zusatzeingaben!G191&gt;100,Zusatzeingaben!G190,IF(AND(Zusatzeingaben!G190&gt;0,Zusatzeingaben!G190&gt;Zusatzeingaben!G189),Zusatzeingaben!G190,Zusatzeingaben!G189))</f>
        <v>0</v>
      </c>
      <c r="H120" s="1024">
        <f>IF(Zusatzeingaben!H191&gt;100,Zusatzeingaben!H190,IF(AND(Zusatzeingaben!H190&gt;0,Zusatzeingaben!H190&gt;Zusatzeingaben!H189),Zusatzeingaben!H190,Zusatzeingaben!H189))</f>
        <v>0</v>
      </c>
      <c r="I120" s="1025">
        <f>IF(Zusatzeingaben!I191&gt;100,Zusatzeingaben!I190,IF(AND(Zusatzeingaben!I190&gt;0,Zusatzeingaben!I190&gt;Zusatzeingaben!I189),Zusatzeingaben!I190,Zusatzeingaben!I189))</f>
        <v>0</v>
      </c>
      <c r="J120" s="1080"/>
      <c r="K120" s="1080"/>
      <c r="L120" s="1080"/>
      <c r="M120" s="1080"/>
      <c r="N120" s="1080"/>
      <c r="O120" s="1080"/>
      <c r="P120" s="1080"/>
      <c r="Q120" s="1080"/>
      <c r="R120" s="1080"/>
      <c r="S120" s="1080"/>
      <c r="T120" s="1080"/>
      <c r="U120" s="1080"/>
      <c r="V120" s="1080"/>
      <c r="W120" s="1080"/>
      <c r="X120" s="1080"/>
      <c r="Y120" s="1080"/>
      <c r="Z120" s="1080"/>
      <c r="AA120" s="1080"/>
      <c r="AB120" s="1080"/>
      <c r="AC120" s="1080"/>
      <c r="AD120" s="1080"/>
      <c r="AE120" s="1080"/>
      <c r="AF120" s="1080"/>
      <c r="AG120" s="1080"/>
      <c r="AH120" s="1080"/>
      <c r="AI120" s="1080"/>
      <c r="AJ120" s="1080"/>
      <c r="AK120" s="1080"/>
      <c r="AL120" s="1080"/>
      <c r="AM120" s="1080"/>
      <c r="AN120" s="1080"/>
      <c r="AO120" s="1080"/>
      <c r="AP120" s="1080"/>
      <c r="AQ120" s="1080"/>
      <c r="AR120" s="1080"/>
      <c r="AS120" s="1080"/>
      <c r="AT120" s="1080"/>
      <c r="AU120" s="1080"/>
      <c r="AV120" s="1080"/>
      <c r="AW120" s="1080"/>
      <c r="AX120" s="1080"/>
      <c r="AY120" s="1080"/>
      <c r="AZ120" s="1080"/>
      <c r="BA120" s="1080"/>
      <c r="BB120" s="1080"/>
      <c r="BC120" s="1080"/>
      <c r="BD120" s="1080"/>
      <c r="BE120" s="1080"/>
      <c r="BF120" s="1080"/>
      <c r="BG120" s="1080"/>
      <c r="BH120" s="1080"/>
      <c r="BI120" s="1080"/>
      <c r="BJ120" s="1080"/>
      <c r="BK120" s="1080"/>
      <c r="BL120" s="1080"/>
    </row>
    <row r="121" spans="1:64" ht="18" hidden="1" customHeight="1">
      <c r="A121" s="1037"/>
      <c r="B121" s="637">
        <f t="shared" si="11"/>
        <v>0</v>
      </c>
      <c r="C121" s="1261">
        <f t="shared" ref="C121:I121" si="13">C70-C76-C82-C87-C92-C98-C104-C108-C109-C113-C114-C117-C118-C119-C120</f>
        <v>0</v>
      </c>
      <c r="D121" s="1261">
        <f t="shared" si="13"/>
        <v>0</v>
      </c>
      <c r="E121" s="1261">
        <f t="shared" si="13"/>
        <v>0</v>
      </c>
      <c r="F121" s="1261">
        <f t="shared" si="13"/>
        <v>0</v>
      </c>
      <c r="G121" s="1261">
        <f t="shared" si="13"/>
        <v>0</v>
      </c>
      <c r="H121" s="1261">
        <f t="shared" si="13"/>
        <v>0</v>
      </c>
      <c r="I121" s="1372">
        <f t="shared" si="13"/>
        <v>0</v>
      </c>
      <c r="J121" s="1080"/>
      <c r="K121" s="1080"/>
      <c r="L121" s="1080"/>
      <c r="M121" s="1080"/>
      <c r="N121" s="1080"/>
      <c r="O121" s="1080"/>
      <c r="P121" s="1080"/>
      <c r="Q121" s="1080"/>
      <c r="R121" s="1080"/>
      <c r="S121" s="1080"/>
      <c r="T121" s="1080"/>
      <c r="U121" s="1080"/>
      <c r="V121" s="1080"/>
      <c r="W121" s="1080"/>
      <c r="X121" s="1080"/>
      <c r="Y121" s="1080"/>
      <c r="Z121" s="1080"/>
      <c r="AA121" s="1080"/>
      <c r="AB121" s="1080"/>
      <c r="AC121" s="1080"/>
      <c r="AD121" s="1080"/>
      <c r="AE121" s="1080"/>
      <c r="AF121" s="1080"/>
      <c r="AG121" s="1080"/>
      <c r="AH121" s="1080"/>
      <c r="AI121" s="1080"/>
      <c r="AJ121" s="1080"/>
      <c r="AK121" s="1080"/>
      <c r="AL121" s="1080"/>
      <c r="AM121" s="1080"/>
      <c r="AN121" s="1080"/>
      <c r="AO121" s="1080"/>
      <c r="AP121" s="1080"/>
      <c r="AQ121" s="1080"/>
      <c r="AR121" s="1080"/>
      <c r="AS121" s="1080"/>
      <c r="AT121" s="1080"/>
      <c r="AU121" s="1080"/>
      <c r="AV121" s="1080"/>
      <c r="AW121" s="1080"/>
      <c r="AX121" s="1080"/>
      <c r="AY121" s="1080"/>
      <c r="AZ121" s="1080"/>
      <c r="BA121" s="1080"/>
      <c r="BB121" s="1080"/>
      <c r="BC121" s="1080"/>
      <c r="BD121" s="1080"/>
      <c r="BE121" s="1080"/>
      <c r="BF121" s="1080"/>
      <c r="BG121" s="1080"/>
      <c r="BH121" s="1080"/>
      <c r="BI121" s="1080"/>
      <c r="BJ121" s="1080"/>
      <c r="BK121" s="1080"/>
      <c r="BL121" s="1080"/>
    </row>
    <row r="122" spans="1:64" ht="21" customHeight="1">
      <c r="A122" s="1373" t="s">
        <v>2168</v>
      </c>
      <c r="B122" s="1374">
        <f t="shared" si="11"/>
        <v>0</v>
      </c>
      <c r="C122" s="1374">
        <f t="shared" ref="C122:I122" si="14">IF(C121&lt;0,0,C121)</f>
        <v>0</v>
      </c>
      <c r="D122" s="1374">
        <f t="shared" si="14"/>
        <v>0</v>
      </c>
      <c r="E122" s="1374">
        <f t="shared" si="14"/>
        <v>0</v>
      </c>
      <c r="F122" s="1374">
        <f t="shared" si="14"/>
        <v>0</v>
      </c>
      <c r="G122" s="1374">
        <f t="shared" si="14"/>
        <v>0</v>
      </c>
      <c r="H122" s="1374">
        <f t="shared" si="14"/>
        <v>0</v>
      </c>
      <c r="I122" s="1375">
        <f t="shared" si="14"/>
        <v>0</v>
      </c>
      <c r="J122" s="1080"/>
      <c r="K122" s="1080"/>
      <c r="L122" s="1080"/>
      <c r="M122" s="1080"/>
      <c r="N122" s="1080"/>
      <c r="O122" s="1080"/>
      <c r="P122" s="1080"/>
      <c r="Q122" s="1080"/>
      <c r="R122" s="1080"/>
      <c r="S122" s="1080"/>
      <c r="T122" s="1080"/>
      <c r="U122" s="1080"/>
      <c r="V122" s="1080"/>
      <c r="W122" s="1080"/>
      <c r="X122" s="1080"/>
      <c r="Y122" s="1080"/>
      <c r="Z122" s="1080"/>
      <c r="AA122" s="1080"/>
      <c r="AB122" s="1080"/>
      <c r="AC122" s="1080"/>
      <c r="AD122" s="1080"/>
      <c r="AE122" s="1080"/>
      <c r="AF122" s="1080"/>
      <c r="AG122" s="1080"/>
      <c r="AH122" s="1080"/>
      <c r="AI122" s="1080"/>
      <c r="AJ122" s="1080"/>
      <c r="AK122" s="1080"/>
      <c r="AL122" s="1080"/>
      <c r="AM122" s="1080"/>
      <c r="AN122" s="1080"/>
      <c r="AO122" s="1080"/>
      <c r="AP122" s="1080"/>
      <c r="AQ122" s="1080"/>
      <c r="AR122" s="1080"/>
      <c r="AS122" s="1080"/>
      <c r="AT122" s="1080"/>
      <c r="AU122" s="1080"/>
      <c r="AV122" s="1080"/>
      <c r="AW122" s="1080"/>
      <c r="AX122" s="1080"/>
      <c r="AY122" s="1080"/>
      <c r="AZ122" s="1080"/>
      <c r="BA122" s="1080"/>
      <c r="BB122" s="1080"/>
      <c r="BC122" s="1080"/>
      <c r="BD122" s="1080"/>
      <c r="BE122" s="1080"/>
      <c r="BF122" s="1080"/>
      <c r="BG122" s="1080"/>
      <c r="BH122" s="1080"/>
      <c r="BI122" s="1080"/>
      <c r="BJ122" s="1080"/>
      <c r="BK122" s="1080"/>
      <c r="BL122" s="1080"/>
    </row>
    <row r="123" spans="1:64" ht="10.5" customHeight="1">
      <c r="J123" s="1080"/>
      <c r="K123" s="1080"/>
      <c r="L123" s="1080"/>
      <c r="M123" s="1080"/>
      <c r="N123" s="1080"/>
      <c r="O123" s="1080"/>
      <c r="P123" s="1080"/>
      <c r="Q123" s="1080"/>
      <c r="R123" s="1080"/>
      <c r="S123" s="1080"/>
      <c r="T123" s="1080"/>
      <c r="U123" s="1080"/>
      <c r="V123" s="1080"/>
      <c r="W123" s="1080"/>
      <c r="X123" s="1080"/>
      <c r="Y123" s="1080"/>
      <c r="Z123" s="1080"/>
      <c r="AA123" s="1080"/>
      <c r="AB123" s="1080"/>
      <c r="AC123" s="1080"/>
      <c r="AD123" s="1080"/>
      <c r="AE123" s="1080"/>
      <c r="AF123" s="1080"/>
      <c r="AG123" s="1080"/>
      <c r="AH123" s="1080"/>
      <c r="AI123" s="1080"/>
      <c r="AJ123" s="1080"/>
      <c r="AK123" s="1080"/>
      <c r="AL123" s="1080"/>
      <c r="AM123" s="1080"/>
      <c r="AN123" s="1080"/>
      <c r="AO123" s="1080"/>
      <c r="AP123" s="1080"/>
      <c r="AQ123" s="1080"/>
      <c r="AR123" s="1080"/>
      <c r="AS123" s="1080"/>
      <c r="AT123" s="1080"/>
      <c r="AU123" s="1080"/>
      <c r="AV123" s="1080"/>
      <c r="AW123" s="1080"/>
      <c r="AX123" s="1080"/>
      <c r="AY123" s="1080"/>
      <c r="AZ123" s="1080"/>
      <c r="BA123" s="1080"/>
      <c r="BB123" s="1080"/>
      <c r="BC123" s="1080"/>
      <c r="BD123" s="1080"/>
      <c r="BE123" s="1080"/>
      <c r="BF123" s="1080"/>
      <c r="BG123" s="1080"/>
      <c r="BH123" s="1080"/>
      <c r="BI123" s="1080"/>
      <c r="BJ123" s="1080"/>
      <c r="BK123" s="1080"/>
      <c r="BL123" s="1080"/>
    </row>
    <row r="124" spans="1:64" ht="9.75" customHeight="1"/>
    <row r="125" spans="1:64" ht="21.75" customHeight="1">
      <c r="A125" s="1319"/>
      <c r="B125" s="1320" t="s">
        <v>2169</v>
      </c>
      <c r="C125" s="1316"/>
      <c r="D125" s="1316"/>
      <c r="E125" s="1316"/>
      <c r="F125" s="1316"/>
      <c r="G125" s="1316"/>
      <c r="H125" s="1316"/>
      <c r="I125" s="1321"/>
      <c r="J125" s="1080"/>
      <c r="K125" s="1080"/>
      <c r="L125" s="1080"/>
      <c r="M125" s="1080"/>
      <c r="N125" s="1080"/>
      <c r="O125" s="1080"/>
      <c r="P125" s="1080"/>
      <c r="Q125" s="1080"/>
      <c r="R125" s="1080"/>
      <c r="S125" s="1080"/>
      <c r="T125" s="1080"/>
      <c r="U125" s="1080"/>
      <c r="V125" s="1080"/>
      <c r="W125" s="1080"/>
      <c r="X125" s="1080"/>
      <c r="Y125" s="1080"/>
      <c r="Z125" s="1080"/>
      <c r="AA125" s="1080"/>
      <c r="AB125" s="1080"/>
      <c r="AC125" s="1080"/>
      <c r="AD125" s="1080"/>
      <c r="AE125" s="1080"/>
      <c r="AF125" s="1080"/>
      <c r="AG125" s="1080"/>
      <c r="AH125" s="1080"/>
      <c r="AI125" s="1080"/>
      <c r="AJ125" s="1080"/>
      <c r="AK125" s="1080"/>
      <c r="AL125" s="1080"/>
      <c r="AM125" s="1080"/>
      <c r="AN125" s="1080"/>
      <c r="AO125" s="1080"/>
      <c r="AP125" s="1080"/>
      <c r="AQ125" s="1080"/>
      <c r="AR125" s="1080"/>
      <c r="AS125" s="1080"/>
      <c r="AT125" s="1080"/>
      <c r="AU125" s="1080"/>
      <c r="AV125" s="1080"/>
      <c r="AW125" s="1080"/>
      <c r="AX125" s="1080"/>
      <c r="AY125" s="1080"/>
      <c r="AZ125" s="1080"/>
      <c r="BA125" s="1080"/>
      <c r="BB125" s="1080"/>
      <c r="BC125" s="1080"/>
      <c r="BD125" s="1080"/>
      <c r="BE125" s="1080"/>
      <c r="BF125" s="1080"/>
      <c r="BG125" s="1080"/>
      <c r="BH125" s="1080"/>
      <c r="BI125" s="1080"/>
      <c r="BJ125" s="1080"/>
      <c r="BK125" s="1080"/>
      <c r="BL125" s="1080"/>
    </row>
    <row r="126" spans="1:64" ht="18.75" customHeight="1">
      <c r="A126" s="839"/>
      <c r="B126" s="1322" t="s">
        <v>246</v>
      </c>
      <c r="C126" s="1322" t="str">
        <f>Zusatzeingaben!C4</f>
        <v>Antragsteller</v>
      </c>
      <c r="D126" s="1322" t="str">
        <f>Zusatzeingaben!D4</f>
        <v>Partner(in)</v>
      </c>
      <c r="E126" s="1322" t="str">
        <f>Zusatzeingaben!E4</f>
        <v>Kind 1</v>
      </c>
      <c r="F126" s="1322" t="s">
        <v>145</v>
      </c>
      <c r="G126" s="1322" t="s">
        <v>146</v>
      </c>
      <c r="H126" s="1322" t="s">
        <v>147</v>
      </c>
      <c r="I126" s="1323" t="s">
        <v>148</v>
      </c>
    </row>
    <row r="127" spans="1:64" ht="17.25" customHeight="1">
      <c r="A127" s="1342" t="s">
        <v>127</v>
      </c>
      <c r="B127" s="1335">
        <f>SUM(C127:I127)</f>
        <v>449</v>
      </c>
      <c r="C127" s="1016">
        <f t="shared" ref="C127:I127" si="15">C50</f>
        <v>449</v>
      </c>
      <c r="D127" s="1016">
        <f t="shared" si="15"/>
        <v>0</v>
      </c>
      <c r="E127" s="1016">
        <f t="shared" si="15"/>
        <v>0</v>
      </c>
      <c r="F127" s="1016">
        <f t="shared" si="15"/>
        <v>0</v>
      </c>
      <c r="G127" s="1016">
        <f t="shared" si="15"/>
        <v>0</v>
      </c>
      <c r="H127" s="1016">
        <f t="shared" si="15"/>
        <v>0</v>
      </c>
      <c r="I127" s="1017">
        <f t="shared" si="15"/>
        <v>0</v>
      </c>
    </row>
    <row r="128" spans="1:64" ht="19.5" customHeight="1">
      <c r="A128" s="1376">
        <f>IF(B128&gt;0,"./. Einkommen Kinder",0)</f>
        <v>0</v>
      </c>
      <c r="B128" s="1377">
        <f>SUM(C128:I128)</f>
        <v>0</v>
      </c>
      <c r="C128" s="1378"/>
      <c r="D128" s="1378"/>
      <c r="E128" s="1227">
        <f>E122</f>
        <v>0</v>
      </c>
      <c r="F128" s="1227">
        <f>F122</f>
        <v>0</v>
      </c>
      <c r="G128" s="1227">
        <f>G122</f>
        <v>0</v>
      </c>
      <c r="H128" s="1227">
        <f>H122</f>
        <v>0</v>
      </c>
      <c r="I128" s="1228">
        <f>I122</f>
        <v>0</v>
      </c>
    </row>
    <row r="129" spans="1:11" ht="17.25" hidden="1" customHeight="1">
      <c r="A129" s="1379"/>
      <c r="B129" s="1380"/>
      <c r="C129" s="1380"/>
      <c r="D129" s="1380"/>
      <c r="E129" s="507">
        <f>E127-E128</f>
        <v>0</v>
      </c>
      <c r="F129" s="507">
        <f>F127-F128</f>
        <v>0</v>
      </c>
      <c r="G129" s="507">
        <f>G127-G128</f>
        <v>0</v>
      </c>
      <c r="H129" s="507">
        <f>H127-H128</f>
        <v>0</v>
      </c>
      <c r="I129" s="508">
        <f>I127-I128</f>
        <v>0</v>
      </c>
    </row>
    <row r="130" spans="1:11" ht="17.25" hidden="1" customHeight="1">
      <c r="A130" s="833"/>
      <c r="B130" s="869"/>
      <c r="C130" s="899"/>
      <c r="D130" s="899"/>
      <c r="E130" s="899">
        <f>IF(E129&lt;0,0,E129)</f>
        <v>0</v>
      </c>
      <c r="F130" s="899">
        <f>IF(F129&lt;0,0,F129)</f>
        <v>0</v>
      </c>
      <c r="G130" s="899">
        <f>IF(G129&lt;0,0,G129)</f>
        <v>0</v>
      </c>
      <c r="H130" s="899">
        <f>IF(H129&lt;0,0,H129)</f>
        <v>0</v>
      </c>
      <c r="I130" s="900">
        <f>IF(I129&lt;0,0,I129)</f>
        <v>0</v>
      </c>
    </row>
    <row r="131" spans="1:11" ht="19.5" customHeight="1">
      <c r="A131" s="1342" t="s">
        <v>2170</v>
      </c>
      <c r="B131" s="1335">
        <f>SUM(C131:I131)</f>
        <v>449</v>
      </c>
      <c r="C131" s="1016">
        <f>C127</f>
        <v>449</v>
      </c>
      <c r="D131" s="1016">
        <f>D127</f>
        <v>0</v>
      </c>
      <c r="E131" s="1016">
        <f>E130</f>
        <v>0</v>
      </c>
      <c r="F131" s="1016">
        <f>F130</f>
        <v>0</v>
      </c>
      <c r="G131" s="1016">
        <f>G130</f>
        <v>0</v>
      </c>
      <c r="H131" s="1016">
        <f>H130</f>
        <v>0</v>
      </c>
      <c r="I131" s="1017">
        <f>I130</f>
        <v>0</v>
      </c>
      <c r="K131" s="1154"/>
    </row>
    <row r="132" spans="1:11" ht="18" hidden="1" customHeight="1">
      <c r="A132" s="1342"/>
      <c r="B132" s="1335">
        <f>SUM(C132:I132)</f>
        <v>449</v>
      </c>
      <c r="C132" s="1016">
        <f>IF(C10="ja",C131,0)</f>
        <v>449</v>
      </c>
      <c r="D132" s="1016">
        <f>IF(D10="ja",D131,0)</f>
        <v>0</v>
      </c>
      <c r="E132" s="1016">
        <f>IF(AND(Zusatzeingaben!E37=0,E10="ja"),E131,0)</f>
        <v>0</v>
      </c>
      <c r="F132" s="1016">
        <f>IF(F10="ja",F131,0)</f>
        <v>0</v>
      </c>
      <c r="G132" s="1016">
        <f>IF(G10="ja",G131,0)</f>
        <v>0</v>
      </c>
      <c r="H132" s="1016">
        <f>IF(H10="ja",H131,0)</f>
        <v>0</v>
      </c>
      <c r="I132" s="1017">
        <f>IF(I10="ja",I131,0)</f>
        <v>0</v>
      </c>
    </row>
    <row r="133" spans="1:11" ht="17.25" customHeight="1">
      <c r="A133" s="1382" t="s">
        <v>2171</v>
      </c>
      <c r="B133" s="1383">
        <f>SUM(C133:I133)</f>
        <v>1</v>
      </c>
      <c r="C133" s="1384">
        <f>IF(AND(B132&gt;0,C10="ja"),C132/B132,0)</f>
        <v>1</v>
      </c>
      <c r="D133" s="1384">
        <f t="shared" ref="D133:I133" si="16">IF(AND($B$132&gt;0,D11&gt;0,D10="ja"),D132/$B$132,0)</f>
        <v>0</v>
      </c>
      <c r="E133" s="1384">
        <f t="shared" si="16"/>
        <v>0</v>
      </c>
      <c r="F133" s="1384">
        <f t="shared" si="16"/>
        <v>0</v>
      </c>
      <c r="G133" s="1384">
        <f t="shared" si="16"/>
        <v>0</v>
      </c>
      <c r="H133" s="1384">
        <f t="shared" si="16"/>
        <v>0</v>
      </c>
      <c r="I133" s="1385">
        <f t="shared" si="16"/>
        <v>0</v>
      </c>
    </row>
    <row r="134" spans="1:11" ht="19.5" hidden="1" customHeight="1">
      <c r="A134" s="1386"/>
      <c r="B134" s="1335"/>
      <c r="C134" s="1384"/>
      <c r="D134" s="1384"/>
      <c r="E134" s="522">
        <f>IF(E129&lt;0,E129,0)</f>
        <v>0</v>
      </c>
      <c r="F134" s="522">
        <f>IF(F129&lt;0,F129,0)</f>
        <v>0</v>
      </c>
      <c r="G134" s="522">
        <f>IF(G129&lt;0,G129,0)</f>
        <v>0</v>
      </c>
      <c r="H134" s="522">
        <f>IF(H129&lt;0,H129,0)</f>
        <v>0</v>
      </c>
      <c r="I134" s="523">
        <f>IF(I129&lt;0,I129,0)</f>
        <v>0</v>
      </c>
    </row>
    <row r="135" spans="1:11" hidden="1">
      <c r="A135" s="1387"/>
      <c r="B135" s="1249"/>
      <c r="C135" s="637"/>
      <c r="D135" s="637"/>
      <c r="E135" s="637">
        <f>IF(E134&lt;-E62,-E62,E134)</f>
        <v>0</v>
      </c>
      <c r="F135" s="637">
        <f>IF(F134&lt;-F62,-F62,F134)</f>
        <v>0</v>
      </c>
      <c r="G135" s="637">
        <f>IF(G134&lt;-G62,-G62,G134)</f>
        <v>0</v>
      </c>
      <c r="H135" s="637">
        <f>IF(H134&lt;-H62,-H62,H134)</f>
        <v>0</v>
      </c>
      <c r="I135" s="638">
        <f>IF(I134&lt;-I62,-I62,I134)</f>
        <v>0</v>
      </c>
    </row>
    <row r="136" spans="1:11" ht="19.5" hidden="1" customHeight="1">
      <c r="A136" s="1387"/>
      <c r="B136" s="1249"/>
      <c r="C136" s="637"/>
      <c r="D136" s="637"/>
      <c r="E136" s="637">
        <f>-E135*1</f>
        <v>0</v>
      </c>
      <c r="F136" s="637">
        <f>-F135*1</f>
        <v>0</v>
      </c>
      <c r="G136" s="637">
        <f>-G135*1</f>
        <v>0</v>
      </c>
      <c r="H136" s="637">
        <f>-H135*1</f>
        <v>0</v>
      </c>
      <c r="I136" s="638">
        <f>-I135*1</f>
        <v>0</v>
      </c>
    </row>
    <row r="137" spans="1:11" ht="18" customHeight="1">
      <c r="A137" s="1388">
        <f>IF(C137&gt;0,"übertragbares Kindergeld",0)</f>
        <v>0</v>
      </c>
      <c r="B137" s="1389"/>
      <c r="C137" s="1390">
        <f>SUM(E136:I136)</f>
        <v>0</v>
      </c>
      <c r="D137" s="1391"/>
      <c r="E137" s="1391"/>
      <c r="F137" s="1391"/>
      <c r="G137" s="1391"/>
      <c r="H137" s="1391"/>
      <c r="I137" s="1392"/>
    </row>
    <row r="138" spans="1:11" ht="19.5" hidden="1" customHeight="1">
      <c r="A138" s="1388"/>
      <c r="B138" s="1380"/>
      <c r="C138" s="1390">
        <f>IF(AND(C122=0,C137&gt;0),30+Zusatzeingaben!C204+Zusatzeingaben!C205+Zusatzeingaben!C213,0)</f>
        <v>0</v>
      </c>
      <c r="D138" s="1390">
        <f>IF(AND(D122=0,D137&gt;0),30+Zusatzeingaben!D204+Zusatzeingaben!D205+Zusatzeingaben!D213,0)</f>
        <v>0</v>
      </c>
      <c r="E138" s="1390">
        <f>IF(AND(E122=0,E137&gt;0),30+Zusatzeingaben!E204+Zusatzeingaben!E205+Zusatzeingaben!E213,0)</f>
        <v>0</v>
      </c>
      <c r="F138" s="1390">
        <f>IF(AND(F122=0,F137&gt;0),30+Zusatzeingaben!F204+Zusatzeingaben!F205+Zusatzeingaben!F213,0)</f>
        <v>0</v>
      </c>
      <c r="G138" s="1390">
        <f>IF(AND(G122=0,G137&gt;0),30+Zusatzeingaben!G204+Zusatzeingaben!G205+Zusatzeingaben!G213,0)</f>
        <v>0</v>
      </c>
      <c r="H138" s="1390">
        <f>IF(AND(H122=0,H137&gt;0),30+Zusatzeingaben!H204+Zusatzeingaben!H205+Zusatzeingaben!H213,0)</f>
        <v>0</v>
      </c>
      <c r="I138" s="1390">
        <f>IF(AND(I122=0,I137&gt;0),30+Zusatzeingaben!I204+Zusatzeingaben!I205+Zusatzeingaben!I213,0)</f>
        <v>0</v>
      </c>
    </row>
    <row r="139" spans="1:11" ht="19.5" hidden="1" customHeight="1">
      <c r="A139" s="1388"/>
      <c r="B139" s="1380"/>
      <c r="C139" s="1390">
        <f>C137-C138</f>
        <v>0</v>
      </c>
      <c r="D139" s="1391"/>
      <c r="E139" s="1391"/>
      <c r="F139" s="1391"/>
      <c r="G139" s="1391"/>
      <c r="H139" s="1391"/>
      <c r="I139" s="1392"/>
    </row>
    <row r="140" spans="1:11" ht="19.5" hidden="1" customHeight="1">
      <c r="A140" s="1388"/>
      <c r="B140" s="1380"/>
      <c r="C140" s="1390">
        <f>IF(C139&lt;0,0,C139)</f>
        <v>0</v>
      </c>
      <c r="D140" s="1391"/>
      <c r="E140" s="1391"/>
      <c r="F140" s="1391"/>
      <c r="G140" s="1391"/>
      <c r="H140" s="1391"/>
      <c r="I140" s="1392"/>
    </row>
    <row r="141" spans="1:11" ht="17.25" customHeight="1">
      <c r="A141" s="1382" t="s">
        <v>175</v>
      </c>
      <c r="B141" s="1394">
        <f>C141+D141</f>
        <v>0</v>
      </c>
      <c r="C141" s="522">
        <f>C122+C140</f>
        <v>0</v>
      </c>
      <c r="D141" s="522">
        <f>D122</f>
        <v>0</v>
      </c>
      <c r="E141" s="1395"/>
      <c r="F141" s="1395"/>
      <c r="G141" s="1395"/>
      <c r="H141" s="1395"/>
      <c r="I141" s="1396"/>
    </row>
    <row r="142" spans="1:11" hidden="1">
      <c r="A142" s="1037"/>
      <c r="B142" s="981"/>
      <c r="C142" s="637">
        <f>C127-C141</f>
        <v>449</v>
      </c>
      <c r="D142" s="637">
        <f>D127-D141</f>
        <v>0</v>
      </c>
      <c r="E142" s="981"/>
      <c r="F142" s="981"/>
      <c r="G142" s="981"/>
      <c r="H142" s="981"/>
      <c r="I142" s="1397"/>
    </row>
    <row r="143" spans="1:11" hidden="1">
      <c r="A143" s="1037"/>
      <c r="B143" s="981"/>
      <c r="C143" s="637">
        <f>-1*C142</f>
        <v>-449</v>
      </c>
      <c r="D143" s="637">
        <f>-1*D142</f>
        <v>0</v>
      </c>
      <c r="E143" s="981"/>
      <c r="F143" s="981"/>
      <c r="G143" s="981"/>
      <c r="H143" s="981"/>
      <c r="I143" s="1397"/>
    </row>
    <row r="144" spans="1:11" hidden="1">
      <c r="A144" s="1037"/>
      <c r="B144" s="981"/>
      <c r="C144" s="637">
        <f>IF(C143&gt;0,C143,0)</f>
        <v>0</v>
      </c>
      <c r="D144" s="637">
        <f>IF(D143&gt;0,D143,0)</f>
        <v>0</v>
      </c>
      <c r="E144" s="637"/>
      <c r="F144" s="637"/>
      <c r="G144" s="637"/>
      <c r="H144" s="637"/>
      <c r="I144" s="638"/>
    </row>
    <row r="145" spans="1:64">
      <c r="A145" s="1382">
        <f>IF(B145&gt;0,"./. nicht verteilbares Einkommen",0)</f>
        <v>0</v>
      </c>
      <c r="B145" s="1335">
        <f>C145+D145</f>
        <v>0</v>
      </c>
      <c r="C145" s="522">
        <f>IF(AND($B$7&gt;2,D133&gt;0,C133=0,SUM(D131:$I$131)&lt;D141),C141,IF(OR(C10="nur Mehrbedarf",C10="nein"),C141-C146,0))</f>
        <v>0</v>
      </c>
      <c r="D145" s="522">
        <f>IF(AND($B$7&gt;2,C133&gt;0,D133=0,C131+SUM($E$131:$I$131)&lt;C141),D141,IF(OR(D10="nur Mehrbedarf",D10="nein"),D141-D146,0))</f>
        <v>0</v>
      </c>
      <c r="E145" s="522"/>
      <c r="F145" s="522"/>
      <c r="G145" s="522"/>
      <c r="H145" s="522"/>
      <c r="I145" s="523"/>
    </row>
    <row r="146" spans="1:64" ht="17.25" customHeight="1">
      <c r="A146" s="1342" t="s">
        <v>2229</v>
      </c>
      <c r="B146" s="1383">
        <f>C146+D146</f>
        <v>0</v>
      </c>
      <c r="C146" s="522">
        <f>IF(AND($B$7&gt;2,D133&gt;0,C133=0,SUM(D131:$I$131)&lt;D141),0,IF(AND(C10="nur Mehrbedarf",C141&lt;C131+C150),0,IF(AND(C10="nur Mehrbedarf",C144&gt;C150),C144-C150,IF(AND(C10="nein",C144&gt;0),C144,IF(AND(C10="nur Mehrbedarf",C144=0),0,IF(AND(C10="nein",C144=0),0,C141))))))</f>
        <v>0</v>
      </c>
      <c r="D146" s="522">
        <f>IF(AND($B$7&gt;2,C133&gt;0,D133=0,C131+SUM($E$131:$I$131)&lt;C141),0,IF(AND(D10="nur Mehrbedarf",D141&lt;D131+D150),0,IF(AND(D10="nur Mehrbedarf",D144&gt;D150),D144-D150,IF(AND(D10="nein",D144&gt;0),D144,IF(AND(D10="nur Mehrbedarf",D144=0),0,IF(AND(D10="nein",D144=0),0,D141))))))</f>
        <v>0</v>
      </c>
      <c r="E146" s="889"/>
      <c r="F146" s="889"/>
      <c r="G146" s="889"/>
      <c r="H146" s="889"/>
      <c r="I146" s="1398"/>
    </row>
    <row r="147" spans="1:64" ht="17.25" hidden="1" customHeight="1">
      <c r="A147" s="1399"/>
      <c r="B147" s="1361">
        <f>SUM(C147:I147)</f>
        <v>0</v>
      </c>
      <c r="C147" s="522">
        <f>IF(AND($B$133=0,D131=0),C146,IF(AND($B$133=0,D146&gt;0,C131&gt;0),D146,IF(AND($B$7&gt;2,C133=0,D133=0,D146+C145&lt;C131),D146,IF(AND($B$7&gt;2,C133=0,D133=0,D146+C145&gt;C131),C131+D131-B145,IF(AND($B$7=2,C133&gt;0,D10="nur Mehrbedarf",D150+D131&gt;D141,C141&gt;C131),C131,$B$146*C133)))))</f>
        <v>0</v>
      </c>
      <c r="D147" s="522">
        <f>IF(AND($B$133=0,C131=0),D146,IF(AND($B$133=0,C146&gt;0,D131&gt;0),C146,IF(AND($B$7&gt;2,D131&gt;0,D133=0,C133=0,C146+D145&lt;D131),C146,IF(AND(B7&gt;2,D131&gt;0,C133=0,D133=0,C146+D145&gt;D131),C131+D131-B145,IF(AND($B$7=2,C10="nur Mehrbedarf",D133&gt;0,C150+C131&gt;C141,D141&gt;D131),D131,$B$146*D133)))))</f>
        <v>0</v>
      </c>
      <c r="E147" s="522">
        <f>IF(AND($C$150&gt;0,$C$146=0,$B$146*E133&gt;E131,$D$146&lt;$D$131+SUM($E$131:$I$131)),E131,IF(AND($D$150&gt;0,$D$146=0,$B$146*E133&gt;E131,$C$146&lt;$C$131+SUM($E$131:$I$131)),E131,IF(AND($B$7&gt;2,$C$133=0,$D$133=0,$C$131+$D$131&gt;$B$141),0,IF(AND($B$7&gt;2,E131&gt;0,$C$133=0,$D$133=0,$C$131+$D$131&lt;$B$141),($B$141-($C$131+$D$131))*E133,$B$146*E133))))</f>
        <v>0</v>
      </c>
      <c r="F147" s="522">
        <f>IF(AND($C$150&gt;0,$C$146=0,$B$146*F133&gt;F131,$D$146&lt;$D$131+SUM($E$131:$I$131)),F131,IF(AND($D$150&gt;0,$D$146=0,$B$146*F133&gt;F131,$C$146&lt;$C$131+SUM($E$131:$I$131)),F131,IF(AND($B$7&gt;2,$C$133=0,$D$133=0,$C$131+$D$131&gt;$B$141),0,IF(AND($B$7&gt;2,F131&gt;0,$C$133=0,$D$133=0,$C$131+$D$131&lt;$B$141),($B$141-($C$131+$D$131))*F133,$B$146*F133))))</f>
        <v>0</v>
      </c>
      <c r="G147" s="522">
        <f>IF(AND($C$150&gt;0,$C$146=0,$B$146*G133&gt;G131,$D$146&lt;$D$131+SUM($E$131:$I$131)),G131,IF(AND($D$150&gt;0,$D$146=0,$B$146*G133&gt;G131,$C$146&lt;$C$131+SUM($E$131:$I$131)),G131,IF(AND($B$7&gt;2,$C$133=0,$D$133=0,$C$131+$D$131&gt;$B$141),0,IF(AND($B$7&gt;2,G131&gt;0,$C$133=0,$D$133=0,$C$131+$D$131&lt;$B$141),($B$141-($C$131+$D$131))*G133,$B$146*G133))))</f>
        <v>0</v>
      </c>
      <c r="H147" s="522">
        <f>IF(AND($C$150&gt;0,$C$146=0,$B$146*H133&gt;H131,$D$146&lt;$D$131+SUM($E$131:$I$131)),H131,IF(AND($D$150&gt;0,$D$146=0,$B$146*H133&gt;H131,$C$146&lt;$C$131+SUM($E$131:$I$131)),H131,IF(AND($B$7&gt;2,$C$133=0,$D$133=0,$C$131+$D$131&gt;$B$141),0,IF(AND($B$7&gt;2,H131&gt;0,$C$133=0,$D$133=0,$C$131+$D$131&lt;$B$141),($B$141-($C$131+$D$131))*H133,$B$146*H133))))</f>
        <v>0</v>
      </c>
      <c r="I147" s="522">
        <f>IF(AND($C$150&gt;0,$C$146=0,$B$146*I133&gt;I131,$D$146&lt;$D$131+SUM($E$131:$I$131)),I131,IF(AND($D$150&gt;0,$D$146=0,$B$146*I133&gt;I131,$C$146&lt;$C$131+SUM($E$131:$I$131)),I131,IF(AND($B$7&gt;2,$C$133=0,$D$133=0,$C$131+$D$131&gt;$B$141),0,IF(AND($B$7&gt;2,I131&gt;0,$C$133=0,$D$133=0,$C$131+$D$131&lt;$B$141),($B$141-($C$131+$D$131))*I133,$B$146*I133))))</f>
        <v>0</v>
      </c>
    </row>
    <row r="148" spans="1:64" ht="18.75" customHeight="1">
      <c r="A148" s="1376" t="s">
        <v>2230</v>
      </c>
      <c r="B148" s="1357">
        <f>SUM(C148:I148)</f>
        <v>0</v>
      </c>
      <c r="C148" s="1400">
        <f>IF(C147&lt;0,0,IF(AND(C150&gt;0,D146&gt;0,D146&lt;&gt;C147,C146&gt;0,C145&lt;C131+C150),C146+C147,IF(AND(D133&gt;0,C133=0,D146&gt;D147+E147+F147+G147+H147+I147),D146-D147-E147-F147-G147-H147-I147,IF(AND($B$7=2,$B$133=0,C146&gt;0,D146&gt;0),C146,IF(AND($B$7&gt;2,C133+D133=0,C146&gt;0,D146&gt;0),($B$146-E147-F147-G147-H147-I147)*C131/(C131+D131),C147)))))</f>
        <v>0</v>
      </c>
      <c r="D148" s="1400">
        <f>IF(D147&lt;0,0,IF(AND(D150&gt;0,C146&gt;0,C146&lt;&gt;D147,D146&gt;0,D145&lt;D131+D150),D146+D147,IF(AND(C133&gt;0,D133=0,C146&gt;C147+E147+F147+G147+H147+I147),C146-C147-E147-F147-G147-H147-I147,IF(AND($B$7=2,$B$133=0,C146&gt;0,D146&gt;0),D146,IF(AND($B$7&gt;2,C133+D133=0,C146&gt;0,D146&gt;0),($B$146-E147-F147-G147-H147-I147)*D131/(C131+D131),D147)))))</f>
        <v>0</v>
      </c>
      <c r="E148" s="1401">
        <f>IF(AND($C$147=0,$D$147=0,$B$147&lt;$B$146),$B$146*E133,E147)</f>
        <v>0</v>
      </c>
      <c r="F148" s="1401">
        <f>IF(AND($C$147=0,$D$147=0,$B$147&lt;$B$146),$B$146*F133,F147)</f>
        <v>0</v>
      </c>
      <c r="G148" s="1401">
        <f>IF(AND($C$147=0,$D$147=0,$B$147&lt;$B$146),$B$146*G133,G147)</f>
        <v>0</v>
      </c>
      <c r="H148" s="1401">
        <f>IF(AND($C$147=0,$D$147=0,$B$147&lt;$B$146),$B$146*H133,H147)</f>
        <v>0</v>
      </c>
      <c r="I148" s="1402">
        <f>IF(AND($C$147=0,$D$147=0,$B$147&lt;$B$146),$B$146*I133,I147)</f>
        <v>0</v>
      </c>
    </row>
    <row r="149" spans="1:64" ht="19.5" customHeight="1">
      <c r="A149" s="1403" t="s">
        <v>2172</v>
      </c>
      <c r="B149" s="1365">
        <f>SUM(C149:I149)</f>
        <v>449</v>
      </c>
      <c r="C149" s="1365">
        <f>C131-C145-C148</f>
        <v>449</v>
      </c>
      <c r="D149" s="1365">
        <f>D131-D145-D148</f>
        <v>0</v>
      </c>
      <c r="E149" s="1365">
        <f>E131-E148</f>
        <v>0</v>
      </c>
      <c r="F149" s="1365">
        <f>F131-F148</f>
        <v>0</v>
      </c>
      <c r="G149" s="1365">
        <f>G131-G148</f>
        <v>0</v>
      </c>
      <c r="H149" s="1365">
        <f>H131-H148</f>
        <v>0</v>
      </c>
      <c r="I149" s="1404">
        <f>I131-I148</f>
        <v>0</v>
      </c>
    </row>
    <row r="150" spans="1:64" ht="18" customHeight="1">
      <c r="A150" s="1405">
        <f>IF(B150&gt;0,"Mehrbedarf nach § 27 (2) SGB II",0)</f>
        <v>0</v>
      </c>
      <c r="B150" s="1406">
        <f>SUM(C150:I150)</f>
        <v>0</v>
      </c>
      <c r="C150" s="1016">
        <f>IF(C10="nur Mehrbedarf",Zusatzeingaben!C45+Zusatzeingaben!B46+Zusatzeingaben!C93+Zusatzeingaben!C94,0)</f>
        <v>0</v>
      </c>
      <c r="D150" s="1016">
        <f>IF(D10="nur Mehrbedarf",Zusatzeingaben!D45+Zusatzeingaben!D93+Zusatzeingaben!D94,0)</f>
        <v>0</v>
      </c>
      <c r="E150" s="522"/>
      <c r="F150" s="522"/>
      <c r="G150" s="522"/>
      <c r="H150" s="522"/>
      <c r="I150" s="523"/>
    </row>
    <row r="151" spans="1:64" ht="17.25" customHeight="1">
      <c r="A151" s="1407">
        <f>IF(B151&gt;0,"./. Überschuss",0)</f>
        <v>0</v>
      </c>
      <c r="B151" s="1383">
        <f>SUM(C151:I151)</f>
        <v>0</v>
      </c>
      <c r="C151" s="522">
        <f>IF(AND(C10="nur Mehrbedarf",$B$149&lt;0,D149&lt;0),$B$149*-1,IF(AND(C10="nur Mehrbedarf",$B$149&lt;0,$E$149&lt;0),$B$149*-1,IF(AND(C10="nur Mehrbedarf",D149&gt;=0,C149&lt;0),C149*-1,0)))</f>
        <v>0</v>
      </c>
      <c r="D151" s="522">
        <f>IF(AND(D10="nur Mehrbedarf",$B$149&lt;0,C149&lt;0),$B$149*-1,IF(AND(D10="nur Mehrbedarf",$B$149&lt;0,$E$149&lt;0),$B$149*-1,IF(AND(D10="nur Mehrbedarf",C149&gt;=0,D149&lt;0),D149*-1,0)))</f>
        <v>0</v>
      </c>
      <c r="E151" s="522"/>
      <c r="F151" s="522"/>
      <c r="G151" s="522"/>
      <c r="H151" s="522"/>
      <c r="I151" s="523"/>
    </row>
    <row r="152" spans="1:64" ht="17.25" hidden="1" customHeight="1">
      <c r="A152" s="1408"/>
      <c r="B152" s="1409"/>
      <c r="C152" s="1410">
        <f t="shared" ref="C152:I152" si="17">C149-C157</f>
        <v>449</v>
      </c>
      <c r="D152" s="1410">
        <f t="shared" si="17"/>
        <v>0</v>
      </c>
      <c r="E152" s="1410">
        <f t="shared" si="17"/>
        <v>0</v>
      </c>
      <c r="F152" s="1410">
        <f t="shared" si="17"/>
        <v>0</v>
      </c>
      <c r="G152" s="1410">
        <f t="shared" si="17"/>
        <v>0</v>
      </c>
      <c r="H152" s="1410">
        <f t="shared" si="17"/>
        <v>0</v>
      </c>
      <c r="I152" s="1411">
        <f t="shared" si="17"/>
        <v>0</v>
      </c>
    </row>
    <row r="153" spans="1:64" ht="17.25" hidden="1" customHeight="1">
      <c r="A153" s="839"/>
      <c r="B153" s="522"/>
      <c r="C153" s="1410">
        <f>IF(Zusatzeingaben!C221="einmal",C11*0.1,IF(Zusatzeingaben!C221="zweimal",C11*0.2,IF(Zusatzeingaben!C221="dreimal",C11*0.3,0)))</f>
        <v>0</v>
      </c>
      <c r="D153" s="1410">
        <f>IF(Zusatzeingaben!D221="einmal",D11*0.1,IF(Zusatzeingaben!D221="zweimal",D11*0.2,IF(Zusatzeingaben!D221="dreimal",D11*0.3,0)))</f>
        <v>0</v>
      </c>
      <c r="E153" s="1410">
        <f>IF(Zusatzeingaben!E221="einmal",E11*0.1,IF(Zusatzeingaben!E221="zweimal",E11*0.2,IF(Zusatzeingaben!E221="dreimal",E11*0.3,0)))</f>
        <v>0</v>
      </c>
      <c r="F153" s="1410">
        <f>IF(Zusatzeingaben!F221="einmal",F11*0.1,IF(Zusatzeingaben!F221="zweimal",F11*0.2,IF(Zusatzeingaben!F221="dreimal",F11*0.3,0)))</f>
        <v>0</v>
      </c>
      <c r="G153" s="1410">
        <f>IF(Zusatzeingaben!G221="einmal",G11*0.1,IF(Zusatzeingaben!G221="zweimal",G11*0.2,IF(Zusatzeingaben!G221="dreimal",G11*0.3,0)))</f>
        <v>0</v>
      </c>
      <c r="H153" s="1410">
        <f>IF(Zusatzeingaben!H221="einmal",H11*0.1,IF(Zusatzeingaben!H221="zweimal",H11*0.2,IF(Zusatzeingaben!H221="dreimal",H11*0.3,0)))</f>
        <v>0</v>
      </c>
      <c r="I153" s="1411">
        <f>IF(Zusatzeingaben!I221="einmal",I11*0.1,IF(Zusatzeingaben!I221="zweimal",I11*0.2,IF(Zusatzeingaben!I221="dreimal",I11*0.3,0)))</f>
        <v>0</v>
      </c>
    </row>
    <row r="154" spans="1:64" ht="17.25" hidden="1" customHeight="1">
      <c r="A154" s="1408"/>
      <c r="B154" s="522"/>
      <c r="C154" s="522">
        <f t="shared" ref="C154:I154" si="18">IF(C152&gt;C149,C149,C152)</f>
        <v>449</v>
      </c>
      <c r="D154" s="522">
        <f t="shared" si="18"/>
        <v>0</v>
      </c>
      <c r="E154" s="522">
        <f t="shared" si="18"/>
        <v>0</v>
      </c>
      <c r="F154" s="522">
        <f t="shared" si="18"/>
        <v>0</v>
      </c>
      <c r="G154" s="522">
        <f t="shared" si="18"/>
        <v>0</v>
      </c>
      <c r="H154" s="522">
        <f t="shared" si="18"/>
        <v>0</v>
      </c>
      <c r="I154" s="523">
        <f t="shared" si="18"/>
        <v>0</v>
      </c>
    </row>
    <row r="155" spans="1:64" ht="17.25" customHeight="1">
      <c r="A155" s="1407">
        <f>IF(B155&gt;0,"./. Minderung Meldeversäumnis",0)</f>
        <v>0</v>
      </c>
      <c r="B155" s="1335">
        <f>SUM(C155:I155)</f>
        <v>0</v>
      </c>
      <c r="C155" s="522">
        <f t="shared" ref="C155:I155" si="19">IF(OR(C149&lt;0,C153=0),0,MIN(C154,C153))</f>
        <v>0</v>
      </c>
      <c r="D155" s="522">
        <f t="shared" si="19"/>
        <v>0</v>
      </c>
      <c r="E155" s="522">
        <f t="shared" si="19"/>
        <v>0</v>
      </c>
      <c r="F155" s="522">
        <f t="shared" si="19"/>
        <v>0</v>
      </c>
      <c r="G155" s="522">
        <f t="shared" si="19"/>
        <v>0</v>
      </c>
      <c r="H155" s="522">
        <f t="shared" si="19"/>
        <v>0</v>
      </c>
      <c r="I155" s="523">
        <f t="shared" si="19"/>
        <v>0</v>
      </c>
    </row>
    <row r="156" spans="1:64" ht="17.25" hidden="1" customHeight="1">
      <c r="A156" s="1341"/>
      <c r="B156" s="1412"/>
      <c r="C156" s="634">
        <f>Zusatzeingaben!C225</f>
        <v>0</v>
      </c>
      <c r="D156" s="634">
        <f>Zusatzeingaben!D225</f>
        <v>0</v>
      </c>
      <c r="E156" s="634">
        <f>Zusatzeingaben!E225</f>
        <v>0</v>
      </c>
      <c r="F156" s="634">
        <f>Zusatzeingaben!F225</f>
        <v>0</v>
      </c>
      <c r="G156" s="634">
        <f>Zusatzeingaben!G225</f>
        <v>0</v>
      </c>
      <c r="H156" s="634">
        <f>Zusatzeingaben!H225</f>
        <v>0</v>
      </c>
      <c r="I156" s="635">
        <f>Zusatzeingaben!I225</f>
        <v>0</v>
      </c>
    </row>
    <row r="157" spans="1:64" ht="17.25" hidden="1" customHeight="1">
      <c r="A157" s="976"/>
      <c r="B157" s="1413"/>
      <c r="C157" s="1410">
        <f t="shared" ref="C157:I157" si="20">IF(C156&gt;C149,C149,C156)</f>
        <v>0</v>
      </c>
      <c r="D157" s="1410">
        <f t="shared" si="20"/>
        <v>0</v>
      </c>
      <c r="E157" s="1410">
        <f t="shared" si="20"/>
        <v>0</v>
      </c>
      <c r="F157" s="1410">
        <f t="shared" si="20"/>
        <v>0</v>
      </c>
      <c r="G157" s="1410">
        <f t="shared" si="20"/>
        <v>0</v>
      </c>
      <c r="H157" s="1410">
        <f t="shared" si="20"/>
        <v>0</v>
      </c>
      <c r="I157" s="1411">
        <f t="shared" si="20"/>
        <v>0</v>
      </c>
    </row>
    <row r="158" spans="1:64" ht="18" customHeight="1">
      <c r="A158" s="1414">
        <f>IF(B158&gt;0,"./. Minderung Pflichtverletzung",0)</f>
        <v>0</v>
      </c>
      <c r="B158" s="1415">
        <f>SUM(C158:I158)</f>
        <v>0</v>
      </c>
      <c r="C158" s="1416">
        <f t="shared" ref="C158:I158" si="21">IF(C157&lt;0,0,C157)</f>
        <v>0</v>
      </c>
      <c r="D158" s="1024">
        <f t="shared" si="21"/>
        <v>0</v>
      </c>
      <c r="E158" s="1024">
        <f t="shared" si="21"/>
        <v>0</v>
      </c>
      <c r="F158" s="1024">
        <f t="shared" si="21"/>
        <v>0</v>
      </c>
      <c r="G158" s="1024">
        <f t="shared" si="21"/>
        <v>0</v>
      </c>
      <c r="H158" s="1024">
        <f t="shared" si="21"/>
        <v>0</v>
      </c>
      <c r="I158" s="1025">
        <f t="shared" si="21"/>
        <v>0</v>
      </c>
    </row>
    <row r="159" spans="1:64" ht="16.5" hidden="1" customHeight="1">
      <c r="A159" s="1417"/>
      <c r="B159" s="1418"/>
      <c r="C159" s="1419">
        <f>IF(C10="nur Mehrbedarf",C150-C151,0)</f>
        <v>0</v>
      </c>
      <c r="D159" s="1419">
        <f>IF(D10="nur Mehrbedarf",D150-D151,0)</f>
        <v>0</v>
      </c>
      <c r="E159" s="1419"/>
      <c r="F159" s="1419"/>
      <c r="G159" s="1419"/>
      <c r="H159" s="1419"/>
      <c r="I159" s="1420"/>
      <c r="J159" s="1080"/>
      <c r="K159" s="1207"/>
      <c r="L159" s="1207"/>
      <c r="M159" s="1080"/>
      <c r="N159" s="1080"/>
      <c r="O159" s="1080"/>
      <c r="P159" s="1080"/>
      <c r="Q159" s="1080"/>
      <c r="R159" s="1080"/>
      <c r="S159" s="1080"/>
      <c r="T159" s="1080"/>
      <c r="U159" s="1080"/>
      <c r="V159" s="1080"/>
      <c r="W159" s="1080"/>
      <c r="X159" s="1080"/>
      <c r="Y159" s="1080"/>
      <c r="Z159" s="1080"/>
      <c r="AA159" s="1080"/>
      <c r="AB159" s="1080"/>
      <c r="AC159" s="1080"/>
      <c r="AD159" s="1080"/>
      <c r="AE159" s="1080"/>
      <c r="AF159" s="1080"/>
      <c r="AG159" s="1080"/>
      <c r="AH159" s="1080"/>
      <c r="AI159" s="1080"/>
      <c r="AJ159" s="1080"/>
      <c r="AK159" s="1080"/>
      <c r="AL159" s="1080"/>
      <c r="AM159" s="1080"/>
      <c r="AN159" s="1080"/>
      <c r="AO159" s="1080"/>
      <c r="AP159" s="1080"/>
      <c r="AQ159" s="1080"/>
      <c r="AR159" s="1080"/>
      <c r="AS159" s="1080"/>
      <c r="AT159" s="1080"/>
      <c r="AU159" s="1080"/>
      <c r="AV159" s="1080"/>
      <c r="AW159" s="1080"/>
      <c r="AX159" s="1080"/>
      <c r="AY159" s="1080"/>
      <c r="AZ159" s="1080"/>
      <c r="BA159" s="1080"/>
      <c r="BB159" s="1080"/>
      <c r="BC159" s="1080"/>
      <c r="BD159" s="1080"/>
      <c r="BE159" s="1080"/>
      <c r="BF159" s="1080"/>
      <c r="BG159" s="1080"/>
      <c r="BH159" s="1080"/>
      <c r="BI159" s="1080"/>
      <c r="BJ159" s="1080"/>
      <c r="BK159" s="1080"/>
      <c r="BL159" s="1080"/>
    </row>
    <row r="160" spans="1:64" ht="17.25" hidden="1" customHeight="1">
      <c r="A160" s="1421"/>
      <c r="B160" s="1413">
        <f>SUM(C160:I160)</f>
        <v>449</v>
      </c>
      <c r="C160" s="1413">
        <f t="shared" ref="C160:I160" si="22">IF(C10="nur Mehrbedarf",C159,C149-C155-C158)</f>
        <v>449</v>
      </c>
      <c r="D160" s="1413">
        <f t="shared" si="22"/>
        <v>0</v>
      </c>
      <c r="E160" s="1413">
        <f t="shared" si="22"/>
        <v>0</v>
      </c>
      <c r="F160" s="1413">
        <f t="shared" si="22"/>
        <v>0</v>
      </c>
      <c r="G160" s="1413">
        <f t="shared" si="22"/>
        <v>0</v>
      </c>
      <c r="H160" s="1413">
        <f t="shared" si="22"/>
        <v>0</v>
      </c>
      <c r="I160" s="1413">
        <f t="shared" si="22"/>
        <v>0</v>
      </c>
    </row>
    <row r="161" spans="1:9" ht="24" customHeight="1">
      <c r="A161" s="1423" t="s">
        <v>2173</v>
      </c>
      <c r="B161" s="1424">
        <f>SUM(C161:I161)</f>
        <v>449</v>
      </c>
      <c r="C161" s="1424">
        <f t="shared" ref="C161:I161" si="23">IF(C10="nein",0,IF(C160&lt;0,0,C160))</f>
        <v>449</v>
      </c>
      <c r="D161" s="1424">
        <f t="shared" si="23"/>
        <v>0</v>
      </c>
      <c r="E161" s="1424">
        <f t="shared" si="23"/>
        <v>0</v>
      </c>
      <c r="F161" s="1424">
        <f t="shared" si="23"/>
        <v>0</v>
      </c>
      <c r="G161" s="1424">
        <f t="shared" si="23"/>
        <v>0</v>
      </c>
      <c r="H161" s="1424">
        <f t="shared" si="23"/>
        <v>0</v>
      </c>
      <c r="I161" s="1425">
        <f t="shared" si="23"/>
        <v>0</v>
      </c>
    </row>
    <row r="162" spans="1:9" ht="15.75" customHeight="1">
      <c r="A162" s="1274"/>
    </row>
    <row r="163" spans="1:9" ht="14.25" hidden="1" customHeight="1"/>
    <row r="164" spans="1:9" ht="20.25">
      <c r="A164" s="1217"/>
      <c r="B164" s="1218"/>
      <c r="C164" s="1219"/>
      <c r="D164" s="1219"/>
      <c r="E164" s="1219"/>
      <c r="F164" s="1219"/>
      <c r="G164" s="1219"/>
      <c r="H164" s="1219"/>
      <c r="I164" s="1219"/>
    </row>
    <row r="165" spans="1:9" ht="21" customHeight="1">
      <c r="A165" s="1220"/>
      <c r="B165" s="1221"/>
      <c r="C165" s="1221"/>
      <c r="D165" s="1221"/>
      <c r="E165" s="1221"/>
      <c r="F165" s="1221"/>
      <c r="G165" s="1221"/>
      <c r="H165" s="1221"/>
      <c r="I165" s="1221"/>
    </row>
    <row r="166" spans="1:9" ht="21" customHeight="1">
      <c r="A166" s="1545" t="s">
        <v>2174</v>
      </c>
      <c r="B166" s="1317"/>
      <c r="C166" s="1546"/>
      <c r="D166" s="1546"/>
      <c r="E166" s="1546"/>
      <c r="F166" s="1546"/>
      <c r="G166" s="1546"/>
      <c r="H166" s="1546"/>
      <c r="I166" s="1547"/>
    </row>
    <row r="167" spans="1:9" ht="18.75" customHeight="1">
      <c r="A167" s="839"/>
      <c r="B167" s="1322" t="s">
        <v>246</v>
      </c>
      <c r="C167" s="1322" t="str">
        <f>Zusatzeingaben!C4</f>
        <v>Antragsteller</v>
      </c>
      <c r="D167" s="1322" t="str">
        <f>Zusatzeingaben!D4</f>
        <v>Partner(in)</v>
      </c>
      <c r="E167" s="1322" t="str">
        <f>Zusatzeingaben!E4</f>
        <v>Kind 1</v>
      </c>
      <c r="F167" s="1322" t="str">
        <f>Zusatzeingaben!F4</f>
        <v>Kind 2</v>
      </c>
      <c r="G167" s="1322" t="str">
        <f>Zusatzeingaben!G4</f>
        <v>Kind 3</v>
      </c>
      <c r="H167" s="1322" t="str">
        <f>Zusatzeingaben!H4</f>
        <v>Kind 4</v>
      </c>
      <c r="I167" s="1323" t="str">
        <f>Zusatzeingaben!I4</f>
        <v>Kind 5</v>
      </c>
    </row>
    <row r="168" spans="1:9" ht="18.75" hidden="1" customHeight="1">
      <c r="A168" s="839"/>
      <c r="B168" s="1222"/>
      <c r="C168" s="1223">
        <f t="shared" ref="C168:I168" si="24">IF(C10="ja",C11+C13+C14+C15+C16+C17+C18+C19,0)</f>
        <v>449</v>
      </c>
      <c r="D168" s="1223">
        <f t="shared" si="24"/>
        <v>0</v>
      </c>
      <c r="E168" s="1223">
        <f t="shared" si="24"/>
        <v>0</v>
      </c>
      <c r="F168" s="1223">
        <f t="shared" si="24"/>
        <v>0</v>
      </c>
      <c r="G168" s="1223">
        <f t="shared" si="24"/>
        <v>0</v>
      </c>
      <c r="H168" s="1223">
        <f t="shared" si="24"/>
        <v>0</v>
      </c>
      <c r="I168" s="1224">
        <f t="shared" si="24"/>
        <v>0</v>
      </c>
    </row>
    <row r="169" spans="1:9" ht="18.75" customHeight="1">
      <c r="A169" s="839" t="s">
        <v>2175</v>
      </c>
      <c r="B169" s="1335">
        <f>SUM(C169:I169)</f>
        <v>449</v>
      </c>
      <c r="C169" s="1016">
        <f t="shared" ref="C169:I169" si="25">IF(C10="ja",C11+C13+C14+C15+C16+C17+C18+C19+C49,IF(C10="nur Mehrbedarf",C161,0))</f>
        <v>449</v>
      </c>
      <c r="D169" s="1016">
        <f t="shared" si="25"/>
        <v>0</v>
      </c>
      <c r="E169" s="1016">
        <f t="shared" si="25"/>
        <v>0</v>
      </c>
      <c r="F169" s="1016">
        <f t="shared" si="25"/>
        <v>0</v>
      </c>
      <c r="G169" s="1016">
        <f t="shared" si="25"/>
        <v>0</v>
      </c>
      <c r="H169" s="1016">
        <f t="shared" si="25"/>
        <v>0</v>
      </c>
      <c r="I169" s="1017">
        <f t="shared" si="25"/>
        <v>0</v>
      </c>
    </row>
    <row r="170" spans="1:9" ht="18.75" customHeight="1">
      <c r="A170" s="1225" t="s">
        <v>2176</v>
      </c>
      <c r="B170" s="1335">
        <f>SUM(C170:I170)</f>
        <v>0</v>
      </c>
      <c r="C170" s="1016">
        <f t="shared" ref="C170:I170" si="26">C158</f>
        <v>0</v>
      </c>
      <c r="D170" s="1016">
        <f t="shared" si="26"/>
        <v>0</v>
      </c>
      <c r="E170" s="1016">
        <f t="shared" si="26"/>
        <v>0</v>
      </c>
      <c r="F170" s="1016">
        <f t="shared" si="26"/>
        <v>0</v>
      </c>
      <c r="G170" s="1016">
        <f t="shared" si="26"/>
        <v>0</v>
      </c>
      <c r="H170" s="1016">
        <f t="shared" si="26"/>
        <v>0</v>
      </c>
      <c r="I170" s="1017">
        <f t="shared" si="26"/>
        <v>0</v>
      </c>
    </row>
    <row r="171" spans="1:9" ht="19.5" customHeight="1">
      <c r="A171" s="1226" t="s">
        <v>2177</v>
      </c>
      <c r="B171" s="1357">
        <f>SUM(C171:I171)</f>
        <v>0</v>
      </c>
      <c r="C171" s="1227">
        <f>IF(C169=0,0,C148)</f>
        <v>0</v>
      </c>
      <c r="D171" s="1227">
        <f>IF(D169=0,0,D148)</f>
        <v>0</v>
      </c>
      <c r="E171" s="1227">
        <f>IF(E169=0,0,E128+E148)</f>
        <v>0</v>
      </c>
      <c r="F171" s="1227">
        <f>IF(F169=0,0,F128+F148)</f>
        <v>0</v>
      </c>
      <c r="G171" s="1227">
        <f>IF(G169=0,0,G128+G148)</f>
        <v>0</v>
      </c>
      <c r="H171" s="1227">
        <f>IF(H169=0,0,H128+H148)</f>
        <v>0</v>
      </c>
      <c r="I171" s="1228">
        <f>IF(I169=0,0,I128+I148)</f>
        <v>0</v>
      </c>
    </row>
    <row r="172" spans="1:9" ht="21" hidden="1" customHeight="1">
      <c r="A172" s="833"/>
      <c r="B172" s="637"/>
      <c r="C172" s="1229">
        <f t="shared" ref="C172:I172" si="27">IF(C168=0,0,C148)</f>
        <v>0</v>
      </c>
      <c r="D172" s="1229">
        <f t="shared" si="27"/>
        <v>0</v>
      </c>
      <c r="E172" s="1229">
        <f t="shared" si="27"/>
        <v>0</v>
      </c>
      <c r="F172" s="1229">
        <f t="shared" si="27"/>
        <v>0</v>
      </c>
      <c r="G172" s="1229">
        <f t="shared" si="27"/>
        <v>0</v>
      </c>
      <c r="H172" s="1229">
        <f t="shared" si="27"/>
        <v>0</v>
      </c>
      <c r="I172" s="1230">
        <f t="shared" si="27"/>
        <v>0</v>
      </c>
    </row>
    <row r="173" spans="1:9" ht="21" hidden="1" customHeight="1">
      <c r="A173" s="833"/>
      <c r="B173" s="637"/>
      <c r="C173" s="637">
        <f t="shared" ref="C173:I173" si="28">C169-C170-C171</f>
        <v>449</v>
      </c>
      <c r="D173" s="637">
        <f t="shared" si="28"/>
        <v>0</v>
      </c>
      <c r="E173" s="637">
        <f t="shared" si="28"/>
        <v>0</v>
      </c>
      <c r="F173" s="637">
        <f t="shared" si="28"/>
        <v>0</v>
      </c>
      <c r="G173" s="637">
        <f t="shared" si="28"/>
        <v>0</v>
      </c>
      <c r="H173" s="637">
        <f t="shared" si="28"/>
        <v>0</v>
      </c>
      <c r="I173" s="638">
        <f t="shared" si="28"/>
        <v>0</v>
      </c>
    </row>
    <row r="174" spans="1:9" ht="21" hidden="1" customHeight="1">
      <c r="A174" s="833"/>
      <c r="B174" s="637"/>
      <c r="C174" s="1231">
        <f>C168-C172</f>
        <v>449</v>
      </c>
      <c r="D174" s="1231">
        <f t="shared" ref="D174:I174" si="29">D168-D171</f>
        <v>0</v>
      </c>
      <c r="E174" s="1231">
        <f t="shared" si="29"/>
        <v>0</v>
      </c>
      <c r="F174" s="1231">
        <f t="shared" si="29"/>
        <v>0</v>
      </c>
      <c r="G174" s="1231">
        <f t="shared" si="29"/>
        <v>0</v>
      </c>
      <c r="H174" s="1231">
        <f t="shared" si="29"/>
        <v>0</v>
      </c>
      <c r="I174" s="1232">
        <f t="shared" si="29"/>
        <v>0</v>
      </c>
    </row>
    <row r="175" spans="1:9" ht="21" customHeight="1">
      <c r="A175" s="1233" t="s">
        <v>2178</v>
      </c>
      <c r="B175" s="1234">
        <f>SUM(C175:I175)</f>
        <v>449</v>
      </c>
      <c r="C175" s="1234">
        <f t="shared" ref="C175:I176" si="30">IF(C173&lt;0,0,C173)</f>
        <v>449</v>
      </c>
      <c r="D175" s="1234">
        <f t="shared" si="30"/>
        <v>0</v>
      </c>
      <c r="E175" s="1234">
        <f t="shared" si="30"/>
        <v>0</v>
      </c>
      <c r="F175" s="1234">
        <f t="shared" si="30"/>
        <v>0</v>
      </c>
      <c r="G175" s="1234">
        <f t="shared" si="30"/>
        <v>0</v>
      </c>
      <c r="H175" s="1234">
        <f t="shared" si="30"/>
        <v>0</v>
      </c>
      <c r="I175" s="1235">
        <f t="shared" si="30"/>
        <v>0</v>
      </c>
    </row>
    <row r="176" spans="1:9" ht="21" hidden="1" customHeight="1">
      <c r="A176" s="1236"/>
      <c r="B176" s="1221"/>
      <c r="C176" s="1237">
        <f t="shared" si="30"/>
        <v>449</v>
      </c>
      <c r="D176" s="1237">
        <f t="shared" si="30"/>
        <v>0</v>
      </c>
      <c r="E176" s="1237">
        <f t="shared" si="30"/>
        <v>0</v>
      </c>
      <c r="F176" s="1237">
        <f t="shared" si="30"/>
        <v>0</v>
      </c>
      <c r="G176" s="1237">
        <f t="shared" si="30"/>
        <v>0</v>
      </c>
      <c r="H176" s="1237">
        <f t="shared" si="30"/>
        <v>0</v>
      </c>
      <c r="I176" s="1238">
        <f t="shared" si="30"/>
        <v>0</v>
      </c>
    </row>
    <row r="177" spans="1:9" ht="21" customHeight="1">
      <c r="A177" s="1239" t="s">
        <v>2179</v>
      </c>
      <c r="B177" s="1548"/>
      <c r="C177" s="1241">
        <f t="shared" ref="C177:I178" si="31">IF(C173&lt;0,C173,0)*-1</f>
        <v>0</v>
      </c>
      <c r="D177" s="1241">
        <f t="shared" si="31"/>
        <v>0</v>
      </c>
      <c r="E177" s="1241">
        <f t="shared" si="31"/>
        <v>0</v>
      </c>
      <c r="F177" s="1241">
        <f t="shared" si="31"/>
        <v>0</v>
      </c>
      <c r="G177" s="1241">
        <f t="shared" si="31"/>
        <v>0</v>
      </c>
      <c r="H177" s="1241">
        <f t="shared" si="31"/>
        <v>0</v>
      </c>
      <c r="I177" s="1242">
        <f t="shared" si="31"/>
        <v>0</v>
      </c>
    </row>
    <row r="178" spans="1:9" ht="21" hidden="1" customHeight="1">
      <c r="A178" s="833"/>
      <c r="B178" s="1249"/>
      <c r="C178" s="1244">
        <f t="shared" si="31"/>
        <v>0</v>
      </c>
      <c r="D178" s="1244">
        <f t="shared" si="31"/>
        <v>0</v>
      </c>
      <c r="E178" s="1244">
        <f t="shared" si="31"/>
        <v>0</v>
      </c>
      <c r="F178" s="1244">
        <f t="shared" si="31"/>
        <v>0</v>
      </c>
      <c r="G178" s="1244">
        <f t="shared" si="31"/>
        <v>0</v>
      </c>
      <c r="H178" s="1244">
        <f t="shared" si="31"/>
        <v>0</v>
      </c>
      <c r="I178" s="1245">
        <f t="shared" si="31"/>
        <v>0</v>
      </c>
    </row>
    <row r="179" spans="1:9" ht="21" customHeight="1">
      <c r="A179" s="1246" t="s">
        <v>2180</v>
      </c>
      <c r="B179" s="1365">
        <f>SUM(C179:I179)</f>
        <v>0</v>
      </c>
      <c r="C179" s="1008">
        <f t="shared" ref="C179:I179" si="32">IF(C10="ja",C47,0)</f>
        <v>0</v>
      </c>
      <c r="D179" s="1008">
        <f t="shared" si="32"/>
        <v>0</v>
      </c>
      <c r="E179" s="1008">
        <f t="shared" si="32"/>
        <v>0</v>
      </c>
      <c r="F179" s="1008">
        <f t="shared" si="32"/>
        <v>0</v>
      </c>
      <c r="G179" s="1008">
        <f t="shared" si="32"/>
        <v>0</v>
      </c>
      <c r="H179" s="1008">
        <f t="shared" si="32"/>
        <v>0</v>
      </c>
      <c r="I179" s="1009">
        <f t="shared" si="32"/>
        <v>0</v>
      </c>
    </row>
    <row r="180" spans="1:9" ht="21" customHeight="1">
      <c r="A180" s="1226" t="s">
        <v>2181</v>
      </c>
      <c r="B180" s="1549">
        <f>SUM(C180:I180)</f>
        <v>0</v>
      </c>
      <c r="C180" s="1227">
        <f t="shared" ref="C180:I180" si="33">IF(C179&lt;C177,C179,C177)</f>
        <v>0</v>
      </c>
      <c r="D180" s="1227">
        <f t="shared" si="33"/>
        <v>0</v>
      </c>
      <c r="E180" s="1227">
        <f t="shared" si="33"/>
        <v>0</v>
      </c>
      <c r="F180" s="1227">
        <f t="shared" si="33"/>
        <v>0</v>
      </c>
      <c r="G180" s="1227">
        <f t="shared" si="33"/>
        <v>0</v>
      </c>
      <c r="H180" s="1227">
        <f t="shared" si="33"/>
        <v>0</v>
      </c>
      <c r="I180" s="1228">
        <f t="shared" si="33"/>
        <v>0</v>
      </c>
    </row>
    <row r="181" spans="1:9" ht="21" hidden="1" customHeight="1">
      <c r="A181" s="1248"/>
      <c r="B181" s="1249"/>
      <c r="C181" s="1250">
        <f t="shared" ref="C181:I181" si="34">IF(C179&lt;C178,C179,C178)</f>
        <v>0</v>
      </c>
      <c r="D181" s="1250">
        <f t="shared" si="34"/>
        <v>0</v>
      </c>
      <c r="E181" s="1250">
        <f t="shared" si="34"/>
        <v>0</v>
      </c>
      <c r="F181" s="1250">
        <f t="shared" si="34"/>
        <v>0</v>
      </c>
      <c r="G181" s="1250">
        <f t="shared" si="34"/>
        <v>0</v>
      </c>
      <c r="H181" s="1250">
        <f t="shared" si="34"/>
        <v>0</v>
      </c>
      <c r="I181" s="1251">
        <f t="shared" si="34"/>
        <v>0</v>
      </c>
    </row>
    <row r="182" spans="1:9" ht="21" hidden="1" customHeight="1">
      <c r="A182" s="1248"/>
      <c r="B182" s="1249"/>
      <c r="C182" s="1252">
        <f t="shared" ref="C182:I182" si="35">C179-C181</f>
        <v>0</v>
      </c>
      <c r="D182" s="1252">
        <f t="shared" si="35"/>
        <v>0</v>
      </c>
      <c r="E182" s="1252">
        <f t="shared" si="35"/>
        <v>0</v>
      </c>
      <c r="F182" s="1252">
        <f t="shared" si="35"/>
        <v>0</v>
      </c>
      <c r="G182" s="1252">
        <f t="shared" si="35"/>
        <v>0</v>
      </c>
      <c r="H182" s="1252">
        <f t="shared" si="35"/>
        <v>0</v>
      </c>
      <c r="I182" s="1253">
        <f t="shared" si="35"/>
        <v>0</v>
      </c>
    </row>
    <row r="183" spans="1:9" ht="21" customHeight="1">
      <c r="A183" s="1254" t="s">
        <v>2182</v>
      </c>
      <c r="B183" s="1255">
        <f>SUM(C183:I183)</f>
        <v>0</v>
      </c>
      <c r="C183" s="1256">
        <f t="shared" ref="C183:I183" si="36">IF(C180&lt;0,C179,C179-C180)</f>
        <v>0</v>
      </c>
      <c r="D183" s="1256">
        <f t="shared" si="36"/>
        <v>0</v>
      </c>
      <c r="E183" s="1256">
        <f t="shared" si="36"/>
        <v>0</v>
      </c>
      <c r="F183" s="1256">
        <f t="shared" si="36"/>
        <v>0</v>
      </c>
      <c r="G183" s="1256">
        <f t="shared" si="36"/>
        <v>0</v>
      </c>
      <c r="H183" s="1256">
        <f t="shared" si="36"/>
        <v>0</v>
      </c>
      <c r="I183" s="1257">
        <f t="shared" si="36"/>
        <v>0</v>
      </c>
    </row>
    <row r="184" spans="1:9" ht="18" customHeight="1">
      <c r="A184" s="1220"/>
      <c r="B184" s="1221"/>
      <c r="C184" s="1221"/>
      <c r="D184" s="1221"/>
      <c r="E184" s="1221"/>
      <c r="F184" s="1221"/>
      <c r="G184" s="1221"/>
      <c r="H184" s="1221"/>
      <c r="I184" s="1221"/>
    </row>
    <row r="186" spans="1:9" ht="18.75" customHeight="1"/>
    <row r="187" spans="1:9">
      <c r="A187" s="1258" t="s">
        <v>2183</v>
      </c>
      <c r="B187" s="1259"/>
      <c r="C187" s="981"/>
      <c r="D187" s="981"/>
      <c r="F187" s="1260"/>
      <c r="G187" s="818"/>
      <c r="H187" s="818"/>
      <c r="I187" s="818"/>
    </row>
    <row r="188" spans="1:9">
      <c r="A188" s="981" t="s">
        <v>2184</v>
      </c>
      <c r="B188" s="1261">
        <f>IF(AND(C$58=0,C$54&lt;=100),0,IF(AND(C$58=0,C$54&lt;=1000),C$54-100,IF(AND(C$58=0,C$54&gt;1000),1000-100,IF(AND(C$58&gt;0,C$54+C$58&lt;=100),0,IF(AND(C$58&gt;0,C$58+C$54&lt;=1000),C$58+C$54-100,IF(AND(C$58&gt;0,C$58+C$54&gt;1000),1000-100))))))</f>
        <v>0</v>
      </c>
      <c r="C188" s="981" t="s">
        <v>2185</v>
      </c>
      <c r="D188" s="637">
        <f>B188*20/100</f>
        <v>0</v>
      </c>
      <c r="F188" s="818"/>
      <c r="G188" s="818"/>
      <c r="H188" s="818"/>
      <c r="I188" s="952"/>
    </row>
    <row r="189" spans="1:9">
      <c r="A189" s="981" t="s">
        <v>2186</v>
      </c>
      <c r="B189" s="637">
        <f>IF(C$54+C$58&lt;1000.01,0,IF(AND(C$54+C$58&gt;1000,C$54+C$58&lt;=1200),C$54+C$58-1000,IF(AND(C$54+C$58&gt;1200,C8="ja",C$54+C$58&lt;=1500),C$54+C$58-1000,IF(AND(C$54+C$58&gt;1200,C8="nein",C$54+C$58&lt;=1500),1200-1000,IF(AND(C$54+C$58&gt;=1500,C8="ja"),1500-1000,IF(AND(C$54+C$58&gt;1500,C8="nein"),1200-1000))))))</f>
        <v>0</v>
      </c>
      <c r="C189" s="981" t="s">
        <v>2187</v>
      </c>
      <c r="D189" s="637">
        <f>B189*10/100</f>
        <v>0</v>
      </c>
      <c r="F189" s="818"/>
      <c r="G189" s="818"/>
      <c r="H189" s="818"/>
      <c r="I189" s="952"/>
    </row>
    <row r="190" spans="1:9">
      <c r="A190" s="1262" t="s">
        <v>141</v>
      </c>
      <c r="B190" s="981"/>
      <c r="C190" s="981"/>
      <c r="D190" s="1263">
        <f>SUM(D188:D189)</f>
        <v>0</v>
      </c>
      <c r="F190" s="818"/>
      <c r="G190" s="818"/>
      <c r="H190" s="818"/>
      <c r="I190" s="952"/>
    </row>
    <row r="191" spans="1:9">
      <c r="A191" s="981"/>
      <c r="B191" s="981"/>
      <c r="C191" s="981"/>
      <c r="D191" s="981"/>
      <c r="F191" s="818"/>
      <c r="G191" s="818"/>
      <c r="H191" s="818"/>
      <c r="I191" s="952"/>
    </row>
    <row r="192" spans="1:9">
      <c r="A192" s="1258" t="s">
        <v>2188</v>
      </c>
      <c r="B192" s="1259"/>
      <c r="C192" s="981"/>
      <c r="D192" s="981"/>
      <c r="F192" s="818"/>
      <c r="G192" s="818"/>
      <c r="H192" s="818"/>
      <c r="I192" s="818"/>
    </row>
    <row r="193" spans="1:9">
      <c r="A193" s="981" t="s">
        <v>2184</v>
      </c>
      <c r="B193" s="637">
        <f>IF(AND(D$58=0,D$54&lt;=100),0,IF(AND(D$58=0,D$54&lt;=1000),D$54-100,IF(AND(D$58=0,D$54&gt;1000),1000-100,IF(AND(D$58&gt;0,D$54+D$58&lt;=100),0,IF(AND(D$58&gt;0,D$58+D$54&lt;=1000),D$58+D$54-100,IF(AND(D$58&gt;0,D$58+D$54&gt;1000),1000-100))))))</f>
        <v>0</v>
      </c>
      <c r="C193" s="981" t="s">
        <v>2185</v>
      </c>
      <c r="D193" s="637">
        <f>B193*20/100</f>
        <v>0</v>
      </c>
      <c r="F193" s="818"/>
      <c r="G193" s="818"/>
      <c r="H193" s="818"/>
      <c r="I193" s="952"/>
    </row>
    <row r="194" spans="1:9">
      <c r="A194" s="981" t="s">
        <v>2186</v>
      </c>
      <c r="B194" s="637">
        <f>IF(D$54+D$58&lt;1000.01,0,IF(AND(D$54+D$58&gt;1000,D$54+D$58&lt;=1200),D$54+D$58-1000,IF(AND(D$54+D$58&gt;1200,D$8="ja",D$54+D$58&lt;=1500),D$54+D$58-1000,IF(AND(D$54+D$58&gt;1200,D$8="nein",D$54+D$58&lt;=1500),1200-1000,IF(AND(D$54+D$58&gt;=1500,D$8="ja"),1500-1000,IF(AND(D$54+D$58&gt;1500,D$8="nein"),1200-1000))))))</f>
        <v>0</v>
      </c>
      <c r="C194" s="981" t="s">
        <v>2187</v>
      </c>
      <c r="D194" s="637">
        <f>B194*10/100</f>
        <v>0</v>
      </c>
      <c r="F194" s="818"/>
      <c r="G194" s="818"/>
      <c r="H194" s="818"/>
      <c r="I194" s="952"/>
    </row>
    <row r="195" spans="1:9">
      <c r="A195" s="1262" t="s">
        <v>141</v>
      </c>
      <c r="B195" s="981"/>
      <c r="C195" s="981"/>
      <c r="D195" s="1263">
        <f>SUM(D193:D194)</f>
        <v>0</v>
      </c>
      <c r="F195" s="818"/>
      <c r="G195" s="818"/>
      <c r="H195" s="818"/>
      <c r="I195" s="952"/>
    </row>
    <row r="196" spans="1:9">
      <c r="A196" s="981"/>
      <c r="B196" s="981"/>
      <c r="C196" s="981"/>
      <c r="D196" s="981"/>
      <c r="F196" s="818"/>
      <c r="G196" s="818"/>
      <c r="H196" s="818"/>
      <c r="I196" s="952"/>
    </row>
    <row r="197" spans="1:9">
      <c r="A197" s="1258" t="s">
        <v>2189</v>
      </c>
      <c r="B197" s="1259"/>
      <c r="C197" s="981"/>
      <c r="D197" s="981"/>
      <c r="F197" s="818"/>
      <c r="G197" s="818"/>
      <c r="H197" s="818"/>
      <c r="I197" s="952"/>
    </row>
    <row r="198" spans="1:9">
      <c r="A198" s="981" t="s">
        <v>2184</v>
      </c>
      <c r="B198" s="637">
        <f>IF(AND(E$58=0,E$54&lt;=100),0,IF(AND(E$58=0,E$54&lt;=1000),E$54-100,IF(AND(E$58=0,E$54&gt;1000),1000-100,IF(AND(E$58&gt;0,E$54+E$58&lt;=100),0,IF(AND(E$58&gt;0,E$58+E$54&lt;=1000),E$58+E$54-100,IF(AND(E$58&gt;0,E$58+E$54&gt;1000),1000-100))))))</f>
        <v>0</v>
      </c>
      <c r="C198" s="981" t="s">
        <v>2185</v>
      </c>
      <c r="D198" s="637">
        <f>B198*20/100</f>
        <v>0</v>
      </c>
    </row>
    <row r="199" spans="1:9">
      <c r="A199" s="981" t="s">
        <v>2186</v>
      </c>
      <c r="B199" s="637">
        <f>IF(E$54+E$58&lt;1000.01,0,IF(AND(E$54+E$58&gt;1000,E$54+E$58&lt;=1200),E$54+E$58-1000,IF(E$54+E$58&gt;1200,1200-1000,)))</f>
        <v>0</v>
      </c>
      <c r="C199" s="981" t="s">
        <v>2187</v>
      </c>
      <c r="D199" s="637">
        <f>B199*10/100</f>
        <v>0</v>
      </c>
    </row>
    <row r="200" spans="1:9">
      <c r="A200" s="1262" t="s">
        <v>141</v>
      </c>
      <c r="B200" s="981"/>
      <c r="C200" s="981"/>
      <c r="D200" s="1263">
        <f>SUM(D198:D199)</f>
        <v>0</v>
      </c>
    </row>
    <row r="201" spans="1:9">
      <c r="A201" s="981"/>
      <c r="B201" s="981"/>
      <c r="C201" s="981"/>
      <c r="D201" s="981"/>
    </row>
    <row r="202" spans="1:9">
      <c r="A202" s="1258" t="s">
        <v>2190</v>
      </c>
      <c r="B202" s="1259"/>
      <c r="C202" s="981"/>
      <c r="D202" s="981"/>
    </row>
    <row r="203" spans="1:9">
      <c r="A203" s="981" t="s">
        <v>2184</v>
      </c>
      <c r="B203" s="637">
        <f>IF(AND(F$58=0,F$54&lt;=100),0,IF(AND(F$58=0,F$54&lt;=1000),F$54-100,IF(AND(F$58=0,F$54&gt;1000),1000-100,IF(AND(F$58&gt;0,F$54+F$58&lt;=100),0,IF(AND(F$58&gt;0,F$58+F$54&lt;=1000),F$58+F$54-100,IF(AND(F$58&gt;0,F$58+F$54&gt;1000),1000-100))))))</f>
        <v>0</v>
      </c>
      <c r="C203" s="981" t="s">
        <v>2185</v>
      </c>
      <c r="D203" s="637">
        <f>B203*20/100</f>
        <v>0</v>
      </c>
    </row>
    <row r="204" spans="1:9">
      <c r="A204" s="981" t="s">
        <v>2186</v>
      </c>
      <c r="B204" s="637">
        <f>IF(F$54+F$58&lt;1000.01,0,IF(AND(F$54+F$58&gt;1000,F$54+F$58&lt;=1200),F$54+F$58-1000,IF(F$54+F$58&gt;1200,1200-1000,)))</f>
        <v>0</v>
      </c>
      <c r="C204" s="981" t="s">
        <v>2187</v>
      </c>
      <c r="D204" s="637">
        <f>B204*10/100</f>
        <v>0</v>
      </c>
    </row>
    <row r="205" spans="1:9">
      <c r="A205" s="1262" t="s">
        <v>141</v>
      </c>
      <c r="B205" s="981"/>
      <c r="C205" s="981"/>
      <c r="D205" s="1263">
        <f>SUM(D203:D204)</f>
        <v>0</v>
      </c>
    </row>
    <row r="206" spans="1:9">
      <c r="A206" s="981"/>
      <c r="B206" s="981"/>
      <c r="C206" s="981"/>
      <c r="D206" s="981"/>
    </row>
    <row r="207" spans="1:9">
      <c r="A207" s="1258" t="s">
        <v>2191</v>
      </c>
      <c r="B207" s="1259"/>
      <c r="C207" s="981"/>
      <c r="D207" s="981"/>
    </row>
    <row r="208" spans="1:9">
      <c r="A208" s="981" t="s">
        <v>2184</v>
      </c>
      <c r="B208" s="637">
        <f>IF(AND(G$58=0,G$54&lt;=100),0,IF(AND(G$58=0,G$54&lt;=1000),G$54-100,IF(AND(G$58=0,G$54&gt;1000),1000-100,IF(AND(G$58&gt;0,G$54+G$58&lt;=100),0,IF(AND(G$58&gt;0,G$58+G$54&lt;=1000),G$58+G$54-100,IF(AND(G$58&gt;0,G$58+G$54&gt;1000),1000-100))))))</f>
        <v>0</v>
      </c>
      <c r="C208" s="981" t="s">
        <v>2185</v>
      </c>
      <c r="D208" s="637">
        <f>B208*20/100</f>
        <v>0</v>
      </c>
    </row>
    <row r="209" spans="1:4">
      <c r="A209" s="981" t="s">
        <v>2186</v>
      </c>
      <c r="B209" s="637">
        <f>IF(G$54+G$58&lt;1000.01,0,IF(AND(G$54+G$58&gt;1000,G$54+G$58&lt;=1200),G$54+G$58-1000,IF(G$54+G$58&gt;1200,1200-1000,)))</f>
        <v>0</v>
      </c>
      <c r="C209" s="981" t="s">
        <v>2187</v>
      </c>
      <c r="D209" s="637">
        <f>B209*10/100</f>
        <v>0</v>
      </c>
    </row>
    <row r="210" spans="1:4">
      <c r="A210" s="1262" t="s">
        <v>141</v>
      </c>
      <c r="B210" s="981"/>
      <c r="C210" s="981"/>
      <c r="D210" s="1263">
        <f>SUM(D208:D209)</f>
        <v>0</v>
      </c>
    </row>
    <row r="211" spans="1:4">
      <c r="A211" s="981"/>
      <c r="B211" s="981"/>
      <c r="C211" s="981"/>
      <c r="D211" s="981"/>
    </row>
    <row r="212" spans="1:4">
      <c r="A212" s="1258" t="s">
        <v>2192</v>
      </c>
      <c r="B212" s="1259"/>
      <c r="C212" s="981"/>
      <c r="D212" s="981"/>
    </row>
    <row r="213" spans="1:4">
      <c r="A213" s="981" t="s">
        <v>2184</v>
      </c>
      <c r="B213" s="637">
        <f>IF(AND(H$58=0,H$54&lt;=100),0,IF(AND(H$58=0,H$54&lt;=1000),H$54-100,IF(AND(H$58=0,H$54&gt;1000),1000-100,IF(AND(H$58&gt;0,H$54+H$58&lt;=100),0,IF(AND(H$58&gt;0,H$58+H$54&lt;=1000),H$58+H$54-100,IF(AND(H$58&gt;0,H$58+H$54&gt;1000),1000-100))))))</f>
        <v>0</v>
      </c>
      <c r="C213" s="981" t="s">
        <v>2185</v>
      </c>
      <c r="D213" s="637">
        <f>B213*20/100</f>
        <v>0</v>
      </c>
    </row>
    <row r="214" spans="1:4">
      <c r="A214" s="981" t="s">
        <v>2186</v>
      </c>
      <c r="B214" s="637">
        <f>IF(H$54+H$58&lt;1000.01,0,IF(AND(H$54+H$58&gt;1000,H$54+H$58&lt;=1200),H$54+H$58-1000,IF(H$54+H$58&gt;1200,1200-1000,)))</f>
        <v>0</v>
      </c>
      <c r="C214" s="981" t="s">
        <v>2187</v>
      </c>
      <c r="D214" s="637">
        <f>B214*10/100</f>
        <v>0</v>
      </c>
    </row>
    <row r="215" spans="1:4">
      <c r="A215" s="1262" t="s">
        <v>141</v>
      </c>
      <c r="B215" s="981"/>
      <c r="C215" s="981"/>
      <c r="D215" s="1263">
        <f>SUM(D213:D214)</f>
        <v>0</v>
      </c>
    </row>
    <row r="216" spans="1:4">
      <c r="A216" s="981"/>
      <c r="B216" s="981"/>
      <c r="C216" s="981"/>
      <c r="D216" s="981"/>
    </row>
    <row r="217" spans="1:4">
      <c r="A217" s="1258" t="s">
        <v>2193</v>
      </c>
      <c r="B217" s="1259"/>
      <c r="C217" s="981"/>
      <c r="D217" s="981"/>
    </row>
    <row r="218" spans="1:4">
      <c r="A218" s="981" t="s">
        <v>2184</v>
      </c>
      <c r="B218" s="637">
        <f>IF(AND(I$58=0,I$54&lt;=100),0,IF(AND(I$58=0,I$54&lt;=1000),I$54-100,IF(AND(I$58=0,I$54&gt;1000),1000-100,IF(AND(I$58&gt;0,I$54+I$58&lt;=100),0,IF(AND(I$58&gt;0,I$58+I$54&lt;=1000),I$58+I$54-100,IF(AND(I$58&gt;0,I$58+I$54&gt;1000),1000-100))))))</f>
        <v>0</v>
      </c>
      <c r="C218" s="981" t="s">
        <v>2185</v>
      </c>
      <c r="D218" s="637">
        <f>B218*20/100</f>
        <v>0</v>
      </c>
    </row>
    <row r="219" spans="1:4">
      <c r="A219" s="981" t="s">
        <v>2186</v>
      </c>
      <c r="B219" s="637">
        <f>IF(I$54+I$58&lt;1000.01,0,IF(AND(I$54+I$58&gt;1000,I$54+I$58&lt;=1200),I$54+I$58-1000,IF(I$54+I$58&gt;1200,1200-1000,)))</f>
        <v>0</v>
      </c>
      <c r="C219" s="981" t="s">
        <v>2187</v>
      </c>
      <c r="D219" s="637">
        <f>B219*10/100</f>
        <v>0</v>
      </c>
    </row>
    <row r="220" spans="1:4">
      <c r="A220" s="1262" t="s">
        <v>141</v>
      </c>
      <c r="B220" s="981"/>
      <c r="C220" s="981"/>
      <c r="D220" s="1263">
        <f>SUM(D218:D219)</f>
        <v>0</v>
      </c>
    </row>
    <row r="221" spans="1:4">
      <c r="A221" s="818"/>
      <c r="B221" s="1264"/>
      <c r="C221" s="818"/>
      <c r="D221" s="818"/>
    </row>
    <row r="222" spans="1:4">
      <c r="A222" s="818"/>
      <c r="B222" s="952"/>
      <c r="C222" s="818"/>
      <c r="D222" s="952"/>
    </row>
    <row r="223" spans="1:4">
      <c r="A223" s="818"/>
      <c r="B223" s="952"/>
      <c r="C223" s="818"/>
      <c r="D223" s="952"/>
    </row>
    <row r="224" spans="1:4">
      <c r="A224" s="1265"/>
      <c r="B224" s="818"/>
      <c r="C224" s="818"/>
      <c r="D224" s="952"/>
    </row>
    <row r="225" spans="1:4">
      <c r="A225" s="818"/>
      <c r="B225" s="818"/>
      <c r="C225" s="818"/>
      <c r="D225" s="818"/>
    </row>
    <row r="226" spans="1:4">
      <c r="A226" s="1266"/>
      <c r="B226" s="1260"/>
      <c r="C226" s="818"/>
      <c r="D226" s="818"/>
    </row>
    <row r="227" spans="1:4">
      <c r="A227" s="818"/>
      <c r="B227" s="952"/>
      <c r="C227" s="818"/>
      <c r="D227" s="952"/>
    </row>
    <row r="228" spans="1:4">
      <c r="A228" s="818"/>
      <c r="B228" s="952"/>
      <c r="C228" s="818"/>
      <c r="D228" s="952"/>
    </row>
    <row r="229" spans="1:4">
      <c r="A229" s="1265"/>
      <c r="B229" s="818"/>
      <c r="C229" s="818"/>
      <c r="D229" s="952"/>
    </row>
    <row r="230" spans="1:4">
      <c r="A230" s="818"/>
      <c r="B230" s="818"/>
      <c r="C230" s="818"/>
      <c r="D230" s="818"/>
    </row>
    <row r="231" spans="1:4">
      <c r="A231" s="1266"/>
      <c r="B231" s="1260"/>
      <c r="C231" s="818"/>
      <c r="D231" s="818"/>
    </row>
    <row r="232" spans="1:4">
      <c r="A232" s="818"/>
      <c r="B232" s="952"/>
      <c r="C232" s="818"/>
      <c r="D232" s="952"/>
    </row>
    <row r="233" spans="1:4">
      <c r="A233" s="818"/>
      <c r="B233" s="952"/>
      <c r="C233" s="818"/>
      <c r="D233" s="952"/>
    </row>
    <row r="234" spans="1:4">
      <c r="A234" s="1265"/>
      <c r="B234" s="818"/>
      <c r="C234" s="818"/>
      <c r="D234" s="952"/>
    </row>
    <row r="235" spans="1:4">
      <c r="A235" s="818"/>
      <c r="B235" s="818"/>
      <c r="C235" s="818"/>
      <c r="D235" s="818"/>
    </row>
    <row r="236" spans="1:4">
      <c r="A236" s="1266"/>
      <c r="B236" s="1260"/>
      <c r="C236" s="818"/>
      <c r="D236" s="818"/>
    </row>
    <row r="237" spans="1:4">
      <c r="A237" s="818"/>
      <c r="B237" s="952"/>
      <c r="C237" s="818"/>
      <c r="D237" s="952"/>
    </row>
    <row r="238" spans="1:4">
      <c r="A238" s="818"/>
      <c r="B238" s="952"/>
      <c r="C238" s="818"/>
      <c r="D238" s="952"/>
    </row>
    <row r="239" spans="1:4">
      <c r="A239" s="1265"/>
      <c r="B239" s="818"/>
      <c r="C239" s="818"/>
      <c r="D239" s="952"/>
    </row>
  </sheetData>
  <sheetProtection sheet="1" objects="1" scenarios="1"/>
  <mergeCells count="1">
    <mergeCell ref="B3:C3"/>
  </mergeCells>
  <conditionalFormatting sqref="C132 D132:D133 D141:D146 C137:C146 E131:I133 D127:I128 A49 C7:I7 C13:I13 B3:C3 C49:I49 C21:I46 C14:C19 C179:I180 C177:I177 C170:I171 D15:I19 C10:I11 C118:I120 C83:I83 C112:I112 C114:I115 C95:I99 C101:I110 C74:I81 C90:I93 C85:I88 C54:I71 D138:I138 C148:I148">
    <cfRule type="cellIs" dxfId="23" priority="2" operator="equal">
      <formula>0</formula>
    </cfRule>
  </conditionalFormatting>
  <conditionalFormatting sqref="B21:B47 B145:B148 E149:I151 C47:I47 B50:C50 B13:B19 B49 B177:B182 B170:B172 B54:B120">
    <cfRule type="cellIs" dxfId="22" priority="3" operator="equal">
      <formula>0</formula>
    </cfRule>
  </conditionalFormatting>
  <conditionalFormatting sqref="B165:I165 B175:I175 B183:I184">
    <cfRule type="cellIs" dxfId="21" priority="4" operator="equal">
      <formula>0</formula>
    </cfRule>
  </conditionalFormatting>
  <conditionalFormatting sqref="A150">
    <cfRule type="cellIs" dxfId="20" priority="5" operator="equal">
      <formula>"Mehrbedarf nach § 27 (2) SGB II"</formula>
    </cfRule>
  </conditionalFormatting>
  <conditionalFormatting sqref="C150:D151">
    <cfRule type="cellIs" dxfId="19" priority="6" operator="notEqual">
      <formula>0</formula>
    </cfRule>
  </conditionalFormatting>
  <conditionalFormatting sqref="C161">
    <cfRule type="expression" dxfId="18" priority="7">
      <formula>$C$150&gt;0</formula>
    </cfRule>
  </conditionalFormatting>
  <conditionalFormatting sqref="A151">
    <cfRule type="cellIs" dxfId="17" priority="8" operator="equal">
      <formula>"./. Überschuss"</formula>
    </cfRule>
  </conditionalFormatting>
  <conditionalFormatting sqref="D161">
    <cfRule type="expression" dxfId="16" priority="9">
      <formula>$D$150&gt;0</formula>
    </cfRule>
  </conditionalFormatting>
  <conditionalFormatting sqref="C116:D116">
    <cfRule type="cellIs" dxfId="15" priority="10" operator="equal">
      <formula>0</formula>
    </cfRule>
  </conditionalFormatting>
  <conditionalFormatting sqref="E116:I116">
    <cfRule type="cellIs" dxfId="14" priority="11" operator="equal">
      <formula>0</formula>
    </cfRule>
  </conditionalFormatting>
  <conditionalFormatting sqref="C82:I82">
    <cfRule type="cellIs" dxfId="13" priority="12" operator="equal">
      <formula>0</formula>
    </cfRule>
  </conditionalFormatting>
  <conditionalFormatting sqref="C111:I111">
    <cfRule type="cellIs" dxfId="12" priority="13" operator="equal">
      <formula>0</formula>
    </cfRule>
  </conditionalFormatting>
  <conditionalFormatting sqref="C113:I113">
    <cfRule type="cellIs" dxfId="11" priority="14" operator="equal">
      <formula>0</formula>
    </cfRule>
  </conditionalFormatting>
  <conditionalFormatting sqref="C154:I157">
    <cfRule type="cellIs" dxfId="10" priority="15" operator="equal">
      <formula>0</formula>
    </cfRule>
  </conditionalFormatting>
  <conditionalFormatting sqref="B153:B158">
    <cfRule type="cellIs" dxfId="9" priority="16" operator="equal">
      <formula>0</formula>
    </cfRule>
  </conditionalFormatting>
  <conditionalFormatting sqref="C117:I117">
    <cfRule type="cellIs" dxfId="8" priority="17" operator="equal">
      <formula>0</formula>
    </cfRule>
  </conditionalFormatting>
  <conditionalFormatting sqref="C147">
    <cfRule type="cellIs" dxfId="7" priority="18" operator="equal">
      <formula>0</formula>
    </cfRule>
  </conditionalFormatting>
  <conditionalFormatting sqref="D147">
    <cfRule type="cellIs" dxfId="6" priority="19" operator="equal">
      <formula>0</formula>
    </cfRule>
  </conditionalFormatting>
  <conditionalFormatting sqref="E147:I147">
    <cfRule type="cellIs" dxfId="5" priority="20" operator="equal">
      <formula>0</formula>
    </cfRule>
  </conditionalFormatting>
  <pageMargins left="0.7" right="0.7" top="0.78749999999999998" bottom="0.78749999999999998" header="0.51180555555555496" footer="0.51180555555555496"/>
  <pageSetup paperSize="9" firstPageNumber="0" orientation="portrait" horizontalDpi="300" verticalDpi="300"/>
</worksheet>
</file>

<file path=xl/worksheets/sheet18.xml><?xml version="1.0" encoding="utf-8"?>
<worksheet xmlns="http://schemas.openxmlformats.org/spreadsheetml/2006/main" xmlns:r="http://schemas.openxmlformats.org/officeDocument/2006/relationships">
  <dimension ref="A1:BL310"/>
  <sheetViews>
    <sheetView showGridLines="0" zoomScale="110" zoomScaleNormal="110" workbookViewId="0">
      <selection activeCell="E37" sqref="E37"/>
    </sheetView>
  </sheetViews>
  <sheetFormatPr baseColWidth="10" defaultColWidth="11.5703125" defaultRowHeight="12.75"/>
  <cols>
    <col min="1" max="1" width="47.85546875" customWidth="1"/>
    <col min="2" max="2" width="14.140625" customWidth="1"/>
    <col min="3" max="4" width="13.28515625" customWidth="1"/>
    <col min="5" max="5" width="13.140625" customWidth="1"/>
    <col min="6" max="6" width="13.28515625" customWidth="1"/>
    <col min="7" max="7" width="12.5703125" customWidth="1"/>
    <col min="8" max="8" width="12.42578125" customWidth="1"/>
    <col min="9" max="9" width="12.85546875" customWidth="1"/>
    <col min="10" max="64" width="10.5703125" customWidth="1"/>
  </cols>
  <sheetData>
    <row r="1" spans="1:64" ht="23.25">
      <c r="A1" s="1644"/>
      <c r="B1" s="1645" t="s">
        <v>2415</v>
      </c>
      <c r="C1" s="1646"/>
      <c r="D1" s="1647"/>
      <c r="E1" s="1646"/>
      <c r="F1" s="1646"/>
      <c r="G1" s="1648"/>
      <c r="H1" s="1648"/>
      <c r="I1" s="1649"/>
      <c r="J1" s="284"/>
      <c r="K1" s="286"/>
      <c r="L1" s="286"/>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row>
    <row r="2" spans="1:64" ht="21.75" customHeight="1">
      <c r="A2" s="288" t="s">
        <v>138</v>
      </c>
      <c r="B2" s="2005"/>
      <c r="C2" s="2005"/>
      <c r="D2" s="289" t="s">
        <v>139</v>
      </c>
      <c r="E2" s="290">
        <f>Zusatzeingaben!E2</f>
        <v>44774</v>
      </c>
      <c r="F2" s="291">
        <f>EOMONTH(E2,0)</f>
        <v>44804</v>
      </c>
      <c r="G2" s="292">
        <f>DAY(F2)</f>
        <v>31</v>
      </c>
      <c r="H2" s="293">
        <f>IF(G2&lt;&gt;30,30,30)</f>
        <v>30</v>
      </c>
      <c r="I2" s="294" t="str">
        <f>TEXT(E2,"MMMM")</f>
        <v>August</v>
      </c>
      <c r="J2" s="295"/>
      <c r="K2" s="286"/>
      <c r="L2" s="286"/>
    </row>
    <row r="3" spans="1:64" ht="20.25">
      <c r="A3" s="1862"/>
      <c r="B3" s="1863" t="s">
        <v>127</v>
      </c>
      <c r="C3" s="1864"/>
      <c r="D3" s="1864"/>
      <c r="E3" s="1864"/>
      <c r="F3" s="1864"/>
      <c r="G3" s="1864"/>
      <c r="H3" s="1864"/>
      <c r="I3" s="1865"/>
      <c r="J3" s="296">
        <f>DATE(YEAR(E2),MONTH(E2)*1-300,)</f>
        <v>35642</v>
      </c>
      <c r="K3" s="297">
        <f>J3+1</f>
        <v>35643</v>
      </c>
      <c r="L3" s="298"/>
    </row>
    <row r="4" spans="1:64" ht="18">
      <c r="A4" s="299" t="s">
        <v>140</v>
      </c>
      <c r="B4" s="300" t="s">
        <v>141</v>
      </c>
      <c r="C4" s="301" t="s">
        <v>142</v>
      </c>
      <c r="D4" s="301" t="s">
        <v>143</v>
      </c>
      <c r="E4" s="301" t="s">
        <v>144</v>
      </c>
      <c r="F4" s="300" t="s">
        <v>145</v>
      </c>
      <c r="G4" s="300" t="s">
        <v>146</v>
      </c>
      <c r="H4" s="300" t="s">
        <v>147</v>
      </c>
      <c r="I4" s="302" t="s">
        <v>148</v>
      </c>
    </row>
    <row r="5" spans="1:64" ht="18.75" customHeight="1">
      <c r="A5" s="303" t="s">
        <v>2338</v>
      </c>
      <c r="B5" s="304">
        <f>Zusatzeingaben!B5</f>
        <v>0</v>
      </c>
      <c r="C5" s="1664">
        <f>B6+B5</f>
        <v>1</v>
      </c>
      <c r="D5" s="1665"/>
      <c r="E5" s="1665"/>
      <c r="F5" s="1665"/>
      <c r="G5" s="1665"/>
      <c r="H5" s="1665"/>
      <c r="I5" s="1666"/>
    </row>
    <row r="6" spans="1:64" ht="20.100000000000001" customHeight="1">
      <c r="A6" s="102" t="s">
        <v>2339</v>
      </c>
      <c r="B6" s="308">
        <f>COUNTIF(C33:I33,"&gt;0")</f>
        <v>1</v>
      </c>
      <c r="C6" s="1866"/>
      <c r="D6" s="1867"/>
      <c r="E6" s="1867"/>
      <c r="F6" s="1867"/>
      <c r="G6" s="1867"/>
      <c r="H6" s="1867"/>
      <c r="I6" s="1868"/>
    </row>
    <row r="7" spans="1:64" ht="20.100000000000001" customHeight="1">
      <c r="A7" s="1669" t="s">
        <v>2416</v>
      </c>
      <c r="B7" s="312">
        <f>COUNTIF(E16:I16,"&lt;18")</f>
        <v>0</v>
      </c>
      <c r="C7" s="1671" t="str">
        <f>Zusatzeingaben!C7</f>
        <v>Nein</v>
      </c>
      <c r="D7" s="1671" t="str">
        <f>Zusatzeingaben!D7</f>
        <v>Nein</v>
      </c>
      <c r="E7" s="1672" t="str">
        <f>IF(AND(C7=0,$B$7&lt;1),"nein","ja")</f>
        <v>ja</v>
      </c>
      <c r="F7" s="1672" t="str">
        <f>IF(AND(D7=0,$B$7&lt;1),"nein","ja")</f>
        <v>ja</v>
      </c>
      <c r="G7" s="1673"/>
      <c r="H7" s="1673"/>
      <c r="I7" s="1674"/>
    </row>
    <row r="8" spans="1:64" ht="20.100000000000001" customHeight="1">
      <c r="A8" s="1869" t="s">
        <v>152</v>
      </c>
      <c r="B8" s="320"/>
      <c r="C8" s="316">
        <f>Zusatzeingaben!C8</f>
        <v>0</v>
      </c>
      <c r="D8" s="316">
        <f>Zusatzeingaben!D8</f>
        <v>0</v>
      </c>
      <c r="E8" s="316">
        <f>Zusatzeingaben!E8</f>
        <v>0</v>
      </c>
      <c r="F8" s="316">
        <f>Zusatzeingaben!F8</f>
        <v>0</v>
      </c>
      <c r="G8" s="316">
        <f>Zusatzeingaben!G8</f>
        <v>0</v>
      </c>
      <c r="H8" s="316">
        <f>Zusatzeingaben!H8</f>
        <v>0</v>
      </c>
      <c r="I8" s="316">
        <f>Zusatzeingaben!I8</f>
        <v>0</v>
      </c>
      <c r="J8" s="317"/>
      <c r="K8" s="318">
        <f>IF(E8&gt;E2,E14,0)</f>
        <v>0</v>
      </c>
    </row>
    <row r="9" spans="1:64" ht="20.100000000000001" hidden="1" customHeight="1">
      <c r="A9" s="319"/>
      <c r="B9" s="320"/>
      <c r="C9" s="321">
        <f t="shared" ref="C9:I9" si="0">DAY(C8)</f>
        <v>0</v>
      </c>
      <c r="D9" s="321">
        <f t="shared" si="0"/>
        <v>0</v>
      </c>
      <c r="E9" s="321">
        <f t="shared" si="0"/>
        <v>0</v>
      </c>
      <c r="F9" s="321">
        <f t="shared" si="0"/>
        <v>0</v>
      </c>
      <c r="G9" s="321">
        <f t="shared" si="0"/>
        <v>0</v>
      </c>
      <c r="H9" s="321">
        <f t="shared" si="0"/>
        <v>0</v>
      </c>
      <c r="I9" s="322">
        <f t="shared" si="0"/>
        <v>0</v>
      </c>
    </row>
    <row r="10" spans="1:64" ht="20.100000000000001" hidden="1" customHeight="1">
      <c r="A10" s="319"/>
      <c r="B10" s="320"/>
      <c r="C10" s="321">
        <f t="shared" ref="C10:I10" si="1">C9-1</f>
        <v>-1</v>
      </c>
      <c r="D10" s="321">
        <f t="shared" si="1"/>
        <v>-1</v>
      </c>
      <c r="E10" s="321">
        <f t="shared" si="1"/>
        <v>-1</v>
      </c>
      <c r="F10" s="321">
        <f t="shared" si="1"/>
        <v>-1</v>
      </c>
      <c r="G10" s="321">
        <f t="shared" si="1"/>
        <v>-1</v>
      </c>
      <c r="H10" s="321">
        <f t="shared" si="1"/>
        <v>-1</v>
      </c>
      <c r="I10" s="322">
        <f t="shared" si="1"/>
        <v>-1</v>
      </c>
    </row>
    <row r="11" spans="1:64" ht="20.100000000000001" hidden="1" customHeight="1">
      <c r="A11" s="319"/>
      <c r="B11" s="320"/>
      <c r="C11" s="321">
        <f>IF(OR(C9=31,C9=28*(AND(I2="februar")),C9=29*(AND(I2="februar"))),29,C10)</f>
        <v>29</v>
      </c>
      <c r="D11" s="321">
        <f>IF(OR(D9=31,D9=28*(AND(I2="februar")),D9=29*(AND(I2="februar"))),29,D10)</f>
        <v>29</v>
      </c>
      <c r="E11" s="321">
        <f>IF(OR(E9=31,E9=28*(AND(I2="februar")),E9=29*(AND(I2="februar"))),29,E10)</f>
        <v>29</v>
      </c>
      <c r="F11" s="321">
        <f>IF(OR(F9=31,F9=28*(AND(I2="februar")),F9=29*(AND(I2="februar"))),29,F10)</f>
        <v>29</v>
      </c>
      <c r="G11" s="321">
        <f>IF(OR(G9=31,G9=28*(AND(I2="februar")),G9=29*(AND(I2="februar"))),29,G10)</f>
        <v>29</v>
      </c>
      <c r="H11" s="321">
        <f>IF(OR(H9=31,H9=28*(AND(I2="februar")),H9=29*(AND(I2="februar"))),29,H10)</f>
        <v>29</v>
      </c>
      <c r="I11" s="322">
        <f>IF(OR(I9=31,I9=28*(AND(I2="februar")),I9=29*(AND(I2="februar"))),29,I10)</f>
        <v>29</v>
      </c>
    </row>
    <row r="12" spans="1:64" ht="20.100000000000001" hidden="1" customHeight="1">
      <c r="A12" s="319"/>
      <c r="B12" s="320"/>
      <c r="C12" s="321">
        <f>H2-C10</f>
        <v>31</v>
      </c>
      <c r="D12" s="321">
        <f>H2-D10</f>
        <v>31</v>
      </c>
      <c r="E12" s="321">
        <f>H2-E10</f>
        <v>31</v>
      </c>
      <c r="F12" s="321">
        <f>H2-F10</f>
        <v>31</v>
      </c>
      <c r="G12" s="321">
        <f>H2-G10</f>
        <v>31</v>
      </c>
      <c r="H12" s="321">
        <f>H2-H10</f>
        <v>31</v>
      </c>
      <c r="I12" s="322">
        <f>H2-I10</f>
        <v>31</v>
      </c>
    </row>
    <row r="13" spans="1:64" ht="20.100000000000001" hidden="1" customHeight="1">
      <c r="A13" s="319"/>
      <c r="B13" s="320"/>
      <c r="C13" s="321">
        <f t="shared" ref="C13:I13" si="2">IF(C12=0,1,IF(C11=29,1,C12))</f>
        <v>1</v>
      </c>
      <c r="D13" s="321">
        <f t="shared" si="2"/>
        <v>1</v>
      </c>
      <c r="E13" s="321">
        <f t="shared" si="2"/>
        <v>1</v>
      </c>
      <c r="F13" s="321">
        <f t="shared" si="2"/>
        <v>1</v>
      </c>
      <c r="G13" s="321">
        <f t="shared" si="2"/>
        <v>1</v>
      </c>
      <c r="H13" s="321">
        <f t="shared" si="2"/>
        <v>1</v>
      </c>
      <c r="I13" s="322">
        <f t="shared" si="2"/>
        <v>1</v>
      </c>
    </row>
    <row r="14" spans="1:64" ht="20.100000000000001" hidden="1" customHeight="1">
      <c r="A14" s="319"/>
      <c r="B14" s="320"/>
      <c r="C14" s="321"/>
      <c r="D14" s="321"/>
      <c r="E14" s="321">
        <f>IF(E8&gt;E2,G2-E10,E13)</f>
        <v>1</v>
      </c>
      <c r="F14" s="321">
        <f>IF(F8&gt;E2,G2-F10,F13)</f>
        <v>1</v>
      </c>
      <c r="G14" s="321">
        <f>IF(G8&gt;E2,G2-G10,G13)</f>
        <v>1</v>
      </c>
      <c r="H14" s="321">
        <f>IF(H8&gt;E2,G2-H10,H13)</f>
        <v>1</v>
      </c>
      <c r="I14" s="322">
        <f>IF(I8&gt;E2,G2-I10,I13)</f>
        <v>1</v>
      </c>
    </row>
    <row r="15" spans="1:64" ht="16.5" hidden="1" customHeight="1">
      <c r="A15" s="323"/>
      <c r="B15" s="320"/>
      <c r="C15" s="324">
        <f>DATEDIF(C$8,E2,"y")</f>
        <v>122</v>
      </c>
      <c r="D15" s="324">
        <f>DATEDIF(D$8,E2,"y")</f>
        <v>122</v>
      </c>
      <c r="E15" s="324">
        <f>DATEDIF(E$8,E2,"y")</f>
        <v>122</v>
      </c>
      <c r="F15" s="324">
        <f>DATEDIF(F$8,E2,"y")</f>
        <v>122</v>
      </c>
      <c r="G15" s="324">
        <f>DATEDIF(G$8,E2,"y")</f>
        <v>122</v>
      </c>
      <c r="H15" s="324">
        <f>DATEDIF(H$8,E2,"y")</f>
        <v>122</v>
      </c>
      <c r="I15" s="325">
        <f>DATEDIF(I$8,E2,"y")</f>
        <v>122</v>
      </c>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row>
    <row r="16" spans="1:64" ht="16.5" hidden="1" customHeight="1">
      <c r="A16" s="326"/>
      <c r="B16" s="327"/>
      <c r="C16" s="328"/>
      <c r="D16" s="328"/>
      <c r="E16" s="328">
        <f>IF(E8&gt;E2,0,E15)</f>
        <v>122</v>
      </c>
      <c r="F16" s="328">
        <f>IF(F8&gt;E2,0,F15)</f>
        <v>122</v>
      </c>
      <c r="G16" s="328">
        <f>IF(G8&gt;E2,0,G15)</f>
        <v>122</v>
      </c>
      <c r="H16" s="328">
        <f>IF(H8&gt;E2,0,H15)</f>
        <v>122</v>
      </c>
      <c r="I16" s="329">
        <f>IF(I8&gt;E2,0,I15)</f>
        <v>122</v>
      </c>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row>
    <row r="17" spans="1:64" ht="16.5" hidden="1" customHeight="1">
      <c r="A17" s="323"/>
      <c r="B17" s="320"/>
      <c r="C17" s="324">
        <f>IF(C15=0,DATEDIF(C$8,E2,"d"),0)</f>
        <v>0</v>
      </c>
      <c r="D17" s="324">
        <f>IF(D15=0,DATEDIF(D$8,E2,"d"),0)</f>
        <v>0</v>
      </c>
      <c r="E17" s="324">
        <f>IF(E16=0,DATEDIF(E$8,E2,"d"),0)</f>
        <v>0</v>
      </c>
      <c r="F17" s="324">
        <f>IF(F15=0,DATEDIF(F$8,E2,"d"),0)</f>
        <v>0</v>
      </c>
      <c r="G17" s="324">
        <f>IF(G15=0,DATEDIF(G$8,E2,"d"),0)</f>
        <v>0</v>
      </c>
      <c r="H17" s="324">
        <f>IF(H15=0,DATEDIF(H$8,E2,"d"),0)</f>
        <v>0</v>
      </c>
      <c r="I17" s="325">
        <f>IF(I15=0,DATEDIF(I$8,E2,"d"),0)</f>
        <v>0</v>
      </c>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row>
    <row r="18" spans="1:64" ht="16.5" hidden="1" customHeight="1">
      <c r="A18" s="326"/>
      <c r="B18" s="327"/>
      <c r="C18" s="328">
        <f>DATEDIF(C$8,F2,"y")</f>
        <v>122</v>
      </c>
      <c r="D18" s="328">
        <f>DATEDIF(D$8,F2,"y")</f>
        <v>122</v>
      </c>
      <c r="E18" s="328">
        <f>DATEDIF(E$8,F2,"y")</f>
        <v>122</v>
      </c>
      <c r="F18" s="328">
        <f>DATEDIF(F$8,F2,"y")</f>
        <v>122</v>
      </c>
      <c r="G18" s="328">
        <f>DATEDIF(G$8,F2,"y")</f>
        <v>122</v>
      </c>
      <c r="H18" s="328">
        <f>DATEDIF(H$8,F2,"y")</f>
        <v>122</v>
      </c>
      <c r="I18" s="329">
        <f>DATEDIF(I$8,F2,"y")</f>
        <v>122</v>
      </c>
      <c r="J18" s="330"/>
      <c r="K18" s="331">
        <f>COUNTIF(E18:I18,"=25")</f>
        <v>0</v>
      </c>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row>
    <row r="19" spans="1:64" ht="16.5" hidden="1" customHeight="1">
      <c r="A19" s="319"/>
      <c r="B19" s="320"/>
      <c r="C19" s="324">
        <f>IF(C8=DATE(1900,1,0),0,C15)</f>
        <v>0</v>
      </c>
      <c r="D19" s="324">
        <f>IF(D8=DATE(1900,1,0),0,D15)</f>
        <v>0</v>
      </c>
      <c r="E19" s="324">
        <f>IF(E8=DATE(1900,1,0),0,E16)</f>
        <v>0</v>
      </c>
      <c r="F19" s="324">
        <f>IF(F8=DATE(1900,1,0),0,F15)</f>
        <v>0</v>
      </c>
      <c r="G19" s="324">
        <f>IF(G8=DATE(1900,1,0),0,G15)</f>
        <v>0</v>
      </c>
      <c r="H19" s="324">
        <f>IF(H8=DATE(1900,1,0),0,H15)</f>
        <v>0</v>
      </c>
      <c r="I19" s="325">
        <f>IF(I8=DATE(1900,1,0),0,I15)</f>
        <v>0</v>
      </c>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row>
    <row r="20" spans="1:64" ht="16.5" hidden="1" customHeight="1">
      <c r="A20" s="319"/>
      <c r="B20" s="320"/>
      <c r="C20" s="324">
        <f t="shared" ref="C20:I20" si="3">IF(C8=DATE(1900,1,0),0,C17)</f>
        <v>0</v>
      </c>
      <c r="D20" s="324">
        <f t="shared" si="3"/>
        <v>0</v>
      </c>
      <c r="E20" s="324">
        <f t="shared" si="3"/>
        <v>0</v>
      </c>
      <c r="F20" s="324">
        <f t="shared" si="3"/>
        <v>0</v>
      </c>
      <c r="G20" s="324">
        <f t="shared" si="3"/>
        <v>0</v>
      </c>
      <c r="H20" s="324">
        <f t="shared" si="3"/>
        <v>0</v>
      </c>
      <c r="I20" s="325">
        <f t="shared" si="3"/>
        <v>0</v>
      </c>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row>
    <row r="21" spans="1:64" ht="16.5" hidden="1" customHeight="1">
      <c r="A21" s="319"/>
      <c r="B21" s="337"/>
      <c r="C21" s="321">
        <f>IF(C19=0,0,C19)</f>
        <v>0</v>
      </c>
      <c r="D21" s="321">
        <f>IF(D19=0,0,D19)</f>
        <v>0</v>
      </c>
      <c r="E21" s="321">
        <f>IF(E19+E20=0,0,IF(E19&gt;E20,E19,1))</f>
        <v>0</v>
      </c>
      <c r="F21" s="321">
        <f>IF(F19+F20=0,0,IF(F19&gt;F20,F19,1))</f>
        <v>0</v>
      </c>
      <c r="G21" s="321">
        <f>IF(G19+G20=0,0,IF(G19&gt;G20,G19,1))</f>
        <v>0</v>
      </c>
      <c r="H21" s="321">
        <f>IF(H19+H20=0,0,IF(H19&gt;H20,H19,1))</f>
        <v>0</v>
      </c>
      <c r="I21" s="322">
        <f>IF(I19+I20=0,0,IF(I19&gt;I20,I19,1))</f>
        <v>0</v>
      </c>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287"/>
      <c r="BK21" s="287"/>
      <c r="BL21" s="287"/>
    </row>
    <row r="22" spans="1:64" ht="16.5" hidden="1" customHeight="1">
      <c r="A22" s="335"/>
      <c r="B22" s="337"/>
      <c r="C22" s="321">
        <f t="shared" ref="C22:I22" si="4">IF(C21=0,0,C21)</f>
        <v>0</v>
      </c>
      <c r="D22" s="321">
        <f t="shared" si="4"/>
        <v>0</v>
      </c>
      <c r="E22" s="321">
        <f t="shared" si="4"/>
        <v>0</v>
      </c>
      <c r="F22" s="321">
        <f t="shared" si="4"/>
        <v>0</v>
      </c>
      <c r="G22" s="321">
        <f t="shared" si="4"/>
        <v>0</v>
      </c>
      <c r="H22" s="321">
        <f t="shared" si="4"/>
        <v>0</v>
      </c>
      <c r="I22" s="322">
        <f t="shared" si="4"/>
        <v>0</v>
      </c>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row>
    <row r="23" spans="1:64" ht="16.5" hidden="1">
      <c r="A23" s="319"/>
      <c r="B23" s="337"/>
      <c r="C23" s="338">
        <f>IF(AND(C21&gt;0,C21&lt;18),F227,IF(AND(C21&gt;17,D21&gt;17),D227,IF(AND(C21&gt;17,D21=17),C227,IF(AND(C21&gt;17,D21=16),C227,IF(AND(C21&gt;17,D21=15),C227,C227)))))</f>
        <v>409</v>
      </c>
      <c r="D23" s="338">
        <f>IF(AND(D21&gt;17,C21&lt;18),C227,IF(D21&gt;17,D227,IF(D21=17,F227,IF(D21=16,F227,IF(D21=15,F227,0)))))</f>
        <v>0</v>
      </c>
      <c r="E23" s="338">
        <f>IF(E21&lt;1,0,IF(E21&lt;6,H227,IF(E21&lt;14,G227,IF(E21&lt;18,F227,E227))))</f>
        <v>0</v>
      </c>
      <c r="F23" s="338">
        <f>IF(F21&lt;1,0,IF(F21&lt;6,H227,IF(F21&lt;14,G227,IF(F21&lt;18,F227,E227))))</f>
        <v>0</v>
      </c>
      <c r="G23" s="338">
        <f>IF(G21&lt;1,0,IF(G21&lt;6,H227,IF(G21&lt;14,G227,IF(G21&lt;18,F227,E227))))</f>
        <v>0</v>
      </c>
      <c r="H23" s="338">
        <f>IF(H21&lt;1,0,IF(H21&lt;6,H227,IF(H21&lt;14,G227,IF(H21&lt;18,F227,E227))))</f>
        <v>0</v>
      </c>
      <c r="I23" s="339">
        <f>IF(I21&lt;1,0,IF(I21&lt;6,H227,IF(I21&lt;14,G227,IF(I21&lt;18,F227,E227))))</f>
        <v>0</v>
      </c>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row>
    <row r="24" spans="1:64" ht="16.5" hidden="1">
      <c r="A24" s="319"/>
      <c r="B24" s="337"/>
      <c r="C24" s="338">
        <f>IF(C18&lt;18,F227,IF(AND(C18&gt;17,D18&gt;17,D18&lt;116),D227,IF(AND(C18&gt;17,D18=17),C227,IF(AND(C18&gt;17,D18=16),C227,IF(AND(C18&gt;17,D18=15),C227,C227)))))</f>
        <v>409</v>
      </c>
      <c r="D24" s="338">
        <f>IF(AND(D18&gt;17,C18&lt;18),C227,IF(D18&gt;17,D227,IF(D18=17,F227,IF(D18=16,F227,IF(D18=15,F227,0)))))</f>
        <v>368</v>
      </c>
      <c r="E24" s="338">
        <f>IF(E18&lt;1,0,IF(E18&lt;6,H227,IF(E18&lt;14,G227,IF(E18&lt;18,F227,E227))))</f>
        <v>327</v>
      </c>
      <c r="F24" s="338">
        <f>IF(F18&lt;1,0,IF(F18&lt;6,H227,IF(F18&lt;14,G227,IF(F18&lt;18,F227,E227))))</f>
        <v>327</v>
      </c>
      <c r="G24" s="338">
        <f>IF(G18&lt;1,0,IF(G18&lt;6,H227,IF(G18&lt;14,G227,IF(G18&lt;18,F227,E227))))</f>
        <v>327</v>
      </c>
      <c r="H24" s="338">
        <f>IF(H18&lt;1,0,IF(H18&lt;6,H227,IF(H18&lt;14,G227,IF(H18&lt;18,F227,E227))))</f>
        <v>327</v>
      </c>
      <c r="I24" s="339">
        <f>IF(I18&lt;1,0,IF(I18&lt;6,H227,IF(I18&lt;14,G227,IF(I18&lt;18,F227,E227))))</f>
        <v>327</v>
      </c>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row>
    <row r="25" spans="1:64" ht="16.5" hidden="1">
      <c r="A25" s="319"/>
      <c r="B25" s="337"/>
      <c r="C25" s="338">
        <f>IF(C24&lt;&gt;C23,C24/H2*C13,C23)</f>
        <v>409</v>
      </c>
      <c r="D25" s="338">
        <f>IF(D24&lt;&gt;D23,D24/H2*D13,D23)</f>
        <v>12.266666666666667</v>
      </c>
      <c r="E25" s="338">
        <f>IF(E24&gt;E23,E24/H2*E14,E23)</f>
        <v>10.9</v>
      </c>
      <c r="F25" s="338">
        <f>IF(F24&gt;F23,F24/H2*F14,F23)</f>
        <v>10.9</v>
      </c>
      <c r="G25" s="338">
        <f>IF(G24&gt;G23,G24/H2*G14,G23)</f>
        <v>10.9</v>
      </c>
      <c r="H25" s="338">
        <f>IF(H24&gt;H23,H24/H2*H14,H23)</f>
        <v>10.9</v>
      </c>
      <c r="I25" s="339">
        <f>IF(I24&gt;I23,I24/H2*I14,I23)</f>
        <v>10.9</v>
      </c>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row>
    <row r="26" spans="1:64" ht="16.5" hidden="1">
      <c r="A26" s="319"/>
      <c r="B26" s="337"/>
      <c r="C26" s="338">
        <f>IF(C24&lt;&gt;C23,C23/H2*C11,C23)</f>
        <v>409</v>
      </c>
      <c r="D26" s="338">
        <f>IF(D24&lt;&gt;D23,D23/H2*D11,D23)</f>
        <v>0</v>
      </c>
      <c r="E26" s="338">
        <f>IF(E24&gt;E23,E23/H2*E11,E23)</f>
        <v>0</v>
      </c>
      <c r="F26" s="338">
        <f>IF(F24&gt;F23,F23/H2*F11,F23)</f>
        <v>0</v>
      </c>
      <c r="G26" s="338">
        <f>IF(G24&gt;G23,G23/H2*G11,G23)</f>
        <v>0</v>
      </c>
      <c r="H26" s="338">
        <f>IF(H24&gt;H23,H23/H2*H11,H23)</f>
        <v>0</v>
      </c>
      <c r="I26" s="339">
        <f>IF(I24&gt;I23,I23/H2*I11,I23)</f>
        <v>0</v>
      </c>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row>
    <row r="27" spans="1:64" ht="16.5" hidden="1">
      <c r="A27" s="319"/>
      <c r="B27" s="337"/>
      <c r="C27" s="338">
        <f t="shared" ref="C27:I27" si="5">IF(C26=C25,C23,C25+C26)</f>
        <v>409</v>
      </c>
      <c r="D27" s="338">
        <f t="shared" si="5"/>
        <v>12.266666666666667</v>
      </c>
      <c r="E27" s="338">
        <f t="shared" si="5"/>
        <v>10.9</v>
      </c>
      <c r="F27" s="338">
        <f t="shared" si="5"/>
        <v>10.9</v>
      </c>
      <c r="G27" s="338">
        <f t="shared" si="5"/>
        <v>10.9</v>
      </c>
      <c r="H27" s="338">
        <f t="shared" si="5"/>
        <v>10.9</v>
      </c>
      <c r="I27" s="339">
        <f t="shared" si="5"/>
        <v>10.9</v>
      </c>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row>
    <row r="28" spans="1:64" ht="16.5" hidden="1">
      <c r="A28" s="319"/>
      <c r="B28" s="337"/>
      <c r="C28" s="338">
        <f>C27</f>
        <v>409</v>
      </c>
      <c r="D28" s="338">
        <f t="shared" ref="D28:I28" si="6">IF(D23=0,0,D27)</f>
        <v>0</v>
      </c>
      <c r="E28" s="338">
        <f t="shared" si="6"/>
        <v>0</v>
      </c>
      <c r="F28" s="338">
        <f t="shared" si="6"/>
        <v>0</v>
      </c>
      <c r="G28" s="338">
        <f t="shared" si="6"/>
        <v>0</v>
      </c>
      <c r="H28" s="338">
        <f t="shared" si="6"/>
        <v>0</v>
      </c>
      <c r="I28" s="339">
        <f t="shared" si="6"/>
        <v>0</v>
      </c>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row>
    <row r="29" spans="1:64" ht="16.5" hidden="1">
      <c r="A29" s="319"/>
      <c r="B29" s="337"/>
      <c r="C29" s="338">
        <f>IF(C15&lt;15,0,C28)</f>
        <v>409</v>
      </c>
      <c r="D29" s="338"/>
      <c r="E29" s="338">
        <f>IF(E18=25,E28/H2*E10,E28)</f>
        <v>0</v>
      </c>
      <c r="F29" s="338">
        <f>IF(F18=25,F28/H2*F10,F28)</f>
        <v>0</v>
      </c>
      <c r="G29" s="338">
        <f>IF(G18=25,G28/H2*G10,G28)</f>
        <v>0</v>
      </c>
      <c r="H29" s="338">
        <f>IF(H18=25,H28/H2*H10,H28)</f>
        <v>0</v>
      </c>
      <c r="I29" s="339">
        <f>IF(I18=25,I28/H2*I10,I28)</f>
        <v>0</v>
      </c>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row>
    <row r="30" spans="1:64" ht="16.5" hidden="1">
      <c r="A30" s="319"/>
      <c r="B30" s="337"/>
      <c r="C30" s="338"/>
      <c r="D30" s="338"/>
      <c r="E30" s="338">
        <f>IF(E16&gt;24,0,E29)</f>
        <v>0</v>
      </c>
      <c r="F30" s="338">
        <f>IF(F15&gt;24,0,F29)</f>
        <v>0</v>
      </c>
      <c r="G30" s="338">
        <f>IF(G15&gt;24,0,G29)</f>
        <v>0</v>
      </c>
      <c r="H30" s="338">
        <f>IF(H15&gt;24,0,H29)</f>
        <v>0</v>
      </c>
      <c r="I30" s="339">
        <f>IF(I15&gt;24,0,I29)</f>
        <v>0</v>
      </c>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row>
    <row r="31" spans="1:64" ht="16.5" hidden="1">
      <c r="A31" s="319"/>
      <c r="B31" s="337"/>
      <c r="C31" s="340"/>
      <c r="D31" s="340"/>
      <c r="E31" s="338">
        <f>ROUND(E30,0)</f>
        <v>0</v>
      </c>
      <c r="F31" s="338">
        <f>ROUND(F30,0)</f>
        <v>0</v>
      </c>
      <c r="G31" s="338">
        <f>ROUND(G30,0)</f>
        <v>0</v>
      </c>
      <c r="H31" s="338">
        <f>ROUND(H30,0)</f>
        <v>0</v>
      </c>
      <c r="I31" s="339">
        <f>ROUND(I30,0)</f>
        <v>0</v>
      </c>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row>
    <row r="32" spans="1:64" ht="16.5" hidden="1">
      <c r="A32" s="319"/>
      <c r="B32" s="337"/>
      <c r="C32" s="341"/>
      <c r="D32" s="341"/>
      <c r="E32" s="341">
        <f>IF(E8&gt;E2,H227*E14/30,E31)</f>
        <v>0</v>
      </c>
      <c r="F32" s="341">
        <f>IF(F8&gt;E2,H227*F14/30,F31)</f>
        <v>0</v>
      </c>
      <c r="G32" s="341">
        <f>IF(G8&gt;E2,H227*G14/30,G31)</f>
        <v>0</v>
      </c>
      <c r="H32" s="341">
        <f>IF(H8&gt;E2,H227*H14/30,H31)</f>
        <v>0</v>
      </c>
      <c r="I32" s="342">
        <f>IF(I8&gt;E2,H227*I14/30,I31)</f>
        <v>0</v>
      </c>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row>
    <row r="33" spans="1:64" ht="16.5" hidden="1">
      <c r="A33" s="319"/>
      <c r="B33" s="337"/>
      <c r="C33" s="338">
        <f>ROUND(C29,0)</f>
        <v>409</v>
      </c>
      <c r="D33" s="338">
        <f>ROUND(D28,0)</f>
        <v>0</v>
      </c>
      <c r="E33" s="338">
        <f>ROUND(E32,0)</f>
        <v>0</v>
      </c>
      <c r="F33" s="338">
        <f>ROUND(F32,0)</f>
        <v>0</v>
      </c>
      <c r="G33" s="338">
        <f>ROUND(G32,0)</f>
        <v>0</v>
      </c>
      <c r="H33" s="338">
        <f>ROUND(H32,0)</f>
        <v>0</v>
      </c>
      <c r="I33" s="339">
        <f>ROUND(I32,0)</f>
        <v>0</v>
      </c>
      <c r="J33" s="317"/>
      <c r="K33" s="317"/>
      <c r="L33" s="317"/>
      <c r="M33" s="317"/>
      <c r="N33" s="317"/>
      <c r="O33" s="317"/>
      <c r="P33" s="317"/>
      <c r="Q33" s="317"/>
      <c r="R33" s="317"/>
      <c r="S33" s="344">
        <f>COUNTIF(E33:I33,"&gt;0")</f>
        <v>0</v>
      </c>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row>
    <row r="34" spans="1:64" ht="16.5">
      <c r="A34" s="319" t="s">
        <v>24</v>
      </c>
      <c r="B34" s="337"/>
      <c r="C34" s="1870" t="str">
        <f>Zusatzeingaben!C34</f>
        <v>ja</v>
      </c>
      <c r="D34" s="1870" t="str">
        <f>Zusatzeingaben!D34</f>
        <v>ja</v>
      </c>
      <c r="E34" s="1870" t="str">
        <f>Zusatzeingaben!E34</f>
        <v>ja</v>
      </c>
      <c r="F34" s="1870" t="str">
        <f>Zusatzeingaben!F34</f>
        <v>ja</v>
      </c>
      <c r="G34" s="1870" t="str">
        <f>Zusatzeingaben!G34</f>
        <v>ja</v>
      </c>
      <c r="H34" s="1870" t="str">
        <f>Zusatzeingaben!H34</f>
        <v>ja</v>
      </c>
      <c r="I34" s="1870" t="str">
        <f>Zusatzeingaben!I34</f>
        <v>ja</v>
      </c>
      <c r="J34" s="317"/>
      <c r="K34" s="317"/>
      <c r="L34" s="317"/>
      <c r="M34" s="317"/>
      <c r="N34" s="317"/>
      <c r="O34" s="317"/>
      <c r="P34" s="317"/>
      <c r="Q34" s="317"/>
      <c r="R34" s="317"/>
      <c r="S34" s="344"/>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row>
    <row r="35" spans="1:64" ht="20.100000000000001" customHeight="1">
      <c r="A35" s="347" t="s">
        <v>2162</v>
      </c>
      <c r="B35" s="348"/>
      <c r="C35" s="1870" t="str">
        <f>Zusatzeingaben!C35</f>
        <v>ja</v>
      </c>
      <c r="D35" s="1870" t="str">
        <f>Zusatzeingaben!D35</f>
        <v>ja</v>
      </c>
      <c r="E35" s="1870" t="str">
        <f>Zusatzeingaben!E35</f>
        <v>ja</v>
      </c>
      <c r="F35" s="1870" t="str">
        <f>Zusatzeingaben!F35</f>
        <v>ja</v>
      </c>
      <c r="G35" s="1870" t="str">
        <f>Zusatzeingaben!G35</f>
        <v>ja</v>
      </c>
      <c r="H35" s="1870" t="str">
        <f>Zusatzeingaben!H35</f>
        <v>ja</v>
      </c>
      <c r="I35" s="1870" t="str">
        <f>Zusatzeingaben!I35</f>
        <v>ja</v>
      </c>
      <c r="J35" s="351"/>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row>
    <row r="36" spans="1:64" ht="29.25" customHeight="1">
      <c r="A36" s="352" t="s">
        <v>153</v>
      </c>
      <c r="B36" s="353" t="s">
        <v>141</v>
      </c>
      <c r="C36" s="1679"/>
      <c r="D36" s="1679"/>
      <c r="E36" s="1679"/>
      <c r="F36" s="1679"/>
      <c r="G36" s="1679"/>
      <c r="H36" s="1679"/>
      <c r="I36" s="1680"/>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row>
    <row r="37" spans="1:64" ht="20.100000000000001" customHeight="1">
      <c r="A37" s="358" t="s">
        <v>2340</v>
      </c>
      <c r="B37" s="359"/>
      <c r="C37" s="316" t="str">
        <f>Zusatzeingaben!C37</f>
        <v/>
      </c>
      <c r="D37" s="316" t="str">
        <f>Zusatzeingaben!D37</f>
        <v/>
      </c>
      <c r="E37" s="316" t="str">
        <f>Zusatzeingaben!E37</f>
        <v/>
      </c>
      <c r="F37" s="1681"/>
      <c r="G37" s="1681"/>
      <c r="H37" s="1681"/>
      <c r="I37" s="339"/>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row>
    <row r="38" spans="1:64" ht="20.100000000000001" hidden="1" customHeight="1">
      <c r="A38" s="358"/>
      <c r="B38" s="359"/>
      <c r="C38" s="361" t="e">
        <f>C37-280</f>
        <v>#VALUE!</v>
      </c>
      <c r="D38" s="361" t="e">
        <f>D37-280</f>
        <v>#VALUE!</v>
      </c>
      <c r="E38" s="361" t="e">
        <f>E37-280</f>
        <v>#VALUE!</v>
      </c>
      <c r="F38" s="1681"/>
      <c r="G38" s="1681"/>
      <c r="H38" s="1681"/>
      <c r="I38" s="339"/>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row>
    <row r="39" spans="1:64" ht="20.100000000000001" hidden="1" customHeight="1">
      <c r="A39" s="358"/>
      <c r="B39" s="359"/>
      <c r="C39" s="361" t="e">
        <f>C38+85</f>
        <v>#VALUE!</v>
      </c>
      <c r="D39" s="361" t="e">
        <f>D38+85</f>
        <v>#VALUE!</v>
      </c>
      <c r="E39" s="361" t="e">
        <f>E38+85</f>
        <v>#VALUE!</v>
      </c>
      <c r="F39" s="1681"/>
      <c r="G39" s="1681"/>
      <c r="H39" s="1681"/>
      <c r="I39" s="339"/>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row>
    <row r="40" spans="1:64" ht="20.100000000000001" hidden="1" customHeight="1">
      <c r="A40" s="358"/>
      <c r="B40" s="359"/>
      <c r="C40" s="321" t="e">
        <f>C39-E2</f>
        <v>#VALUE!</v>
      </c>
      <c r="D40" s="321" t="e">
        <f>D39-E2</f>
        <v>#VALUE!</v>
      </c>
      <c r="E40" s="321" t="e">
        <f>E39-E2</f>
        <v>#VALUE!</v>
      </c>
      <c r="F40" s="1681"/>
      <c r="G40" s="1681"/>
      <c r="H40" s="1681"/>
      <c r="I40" s="339"/>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row>
    <row r="41" spans="1:64" ht="20.100000000000001" hidden="1" customHeight="1">
      <c r="A41" s="358"/>
      <c r="B41" s="359"/>
      <c r="C41" s="321" t="e">
        <f>30-C40</f>
        <v>#VALUE!</v>
      </c>
      <c r="D41" s="321" t="e">
        <f>30-D40</f>
        <v>#VALUE!</v>
      </c>
      <c r="E41" s="321" t="e">
        <f>30-E40</f>
        <v>#VALUE!</v>
      </c>
      <c r="F41" s="1681"/>
      <c r="G41" s="1681"/>
      <c r="H41" s="1681"/>
      <c r="I41" s="339"/>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row>
    <row r="42" spans="1:64" ht="20.100000000000001" hidden="1" customHeight="1">
      <c r="A42" s="358"/>
      <c r="B42" s="359"/>
      <c r="C42" s="321" t="e">
        <f>IF(C41&gt;30,30,C41)</f>
        <v>#VALUE!</v>
      </c>
      <c r="D42" s="321" t="e">
        <f>IF(D41&gt;30,30,D41)</f>
        <v>#VALUE!</v>
      </c>
      <c r="E42" s="321" t="e">
        <f>IF(E41&gt;30,30,E41)</f>
        <v>#VALUE!</v>
      </c>
      <c r="F42" s="1681"/>
      <c r="G42" s="1681"/>
      <c r="H42" s="1681"/>
      <c r="I42" s="339"/>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row>
    <row r="43" spans="1:64" ht="20.100000000000001" hidden="1" customHeight="1">
      <c r="A43" s="358"/>
      <c r="B43" s="359"/>
      <c r="C43" s="321" t="e">
        <f>IF(C39&gt;E2,G2-C40,C42)</f>
        <v>#VALUE!</v>
      </c>
      <c r="D43" s="321" t="e">
        <f>IF(D39&gt;E2,G2-D40,D42)</f>
        <v>#VALUE!</v>
      </c>
      <c r="E43" s="321" t="e">
        <f>IF(E39&gt;E2,G2-E40,E42)</f>
        <v>#VALUE!</v>
      </c>
      <c r="F43" s="1681"/>
      <c r="G43" s="1681"/>
      <c r="H43" s="1681"/>
      <c r="I43" s="339"/>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row>
    <row r="44" spans="1:64" ht="18" hidden="1" customHeight="1">
      <c r="A44" s="358"/>
      <c r="B44" s="359"/>
      <c r="C44" s="369" t="e">
        <f>IF(C42&gt;0,C33*17/100,0)*C43/30</f>
        <v>#VALUE!</v>
      </c>
      <c r="D44" s="369" t="e">
        <f>IF(D42&gt;0,D33*17/100,0)*D43/30</f>
        <v>#VALUE!</v>
      </c>
      <c r="E44" s="369" t="e">
        <f>IF(E42&gt;0,E33*17/100,0)*E43/30</f>
        <v>#VALUE!</v>
      </c>
      <c r="F44" s="338"/>
      <c r="G44" s="338"/>
      <c r="H44" s="338"/>
      <c r="I44" s="339"/>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row>
    <row r="45" spans="1:64" ht="18" hidden="1" customHeight="1">
      <c r="A45" s="358"/>
      <c r="B45" s="359"/>
      <c r="C45" s="369" t="e">
        <f>IF(C37&lt;F2,C44*DAY(C37)/30,C44)</f>
        <v>#VALUE!</v>
      </c>
      <c r="D45" s="369" t="e">
        <f>IF(D37&lt;F2,D44*DAY(D37)/30,D44)</f>
        <v>#VALUE!</v>
      </c>
      <c r="E45" s="369" t="e">
        <f>IF(E37&lt;F2,E44*DAY(E37)/30,E44)</f>
        <v>#VALUE!</v>
      </c>
      <c r="F45" s="338"/>
      <c r="G45" s="338"/>
      <c r="H45" s="338"/>
      <c r="I45" s="339"/>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row>
    <row r="46" spans="1:64" ht="18" customHeight="1">
      <c r="A46" s="376" t="s">
        <v>155</v>
      </c>
      <c r="B46" s="377">
        <f>IF(C46="ja",AE90,0)</f>
        <v>0</v>
      </c>
      <c r="C46" s="465" t="str">
        <f>Zusatzeingaben!C46</f>
        <v>Nein</v>
      </c>
      <c r="D46" s="384"/>
      <c r="E46" s="385"/>
      <c r="F46" s="385"/>
      <c r="G46" s="385"/>
      <c r="H46" s="385"/>
      <c r="I46" s="386"/>
      <c r="T46" s="287"/>
      <c r="U46" s="287"/>
      <c r="V46" s="340"/>
      <c r="W46" s="287"/>
      <c r="X46" s="287"/>
      <c r="Y46" s="340"/>
      <c r="Z46" s="287"/>
      <c r="AA46" s="340"/>
      <c r="AB46" s="287"/>
      <c r="AC46" s="340"/>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row>
    <row r="47" spans="1:64" ht="18" hidden="1" customHeight="1">
      <c r="A47" s="376"/>
      <c r="B47" s="383"/>
      <c r="C47" s="378"/>
      <c r="D47" s="384"/>
      <c r="E47" s="385"/>
      <c r="F47" s="385"/>
      <c r="G47" s="385"/>
      <c r="H47" s="385"/>
      <c r="I47" s="1871"/>
      <c r="J47" s="390"/>
      <c r="K47" s="388" t="s">
        <v>156</v>
      </c>
      <c r="L47" s="389"/>
      <c r="M47" s="390"/>
      <c r="N47" s="388" t="s">
        <v>157</v>
      </c>
      <c r="O47" s="389"/>
      <c r="P47" s="390"/>
      <c r="Q47" s="388" t="s">
        <v>158</v>
      </c>
      <c r="R47" s="389"/>
      <c r="S47" s="390"/>
      <c r="T47" s="388" t="s">
        <v>159</v>
      </c>
      <c r="U47" s="388"/>
      <c r="V47" s="1974" t="s">
        <v>160</v>
      </c>
      <c r="W47" s="1974"/>
      <c r="X47" s="391"/>
      <c r="Y47" s="390"/>
      <c r="Z47" s="389" t="s">
        <v>161</v>
      </c>
      <c r="AA47" s="390"/>
      <c r="AB47" s="389" t="s">
        <v>162</v>
      </c>
      <c r="AC47" s="390"/>
      <c r="AD47" s="389" t="s">
        <v>163</v>
      </c>
      <c r="AE47" s="392">
        <f>IF(OR(K48&gt;0,N48&gt;0,Q48&gt;0,T48&gt;0,W48&gt;0,Z48&gt;0,AB48&gt;0,AD48&gt;0),1,0)</f>
        <v>0</v>
      </c>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row>
    <row r="48" spans="1:64" ht="18" hidden="1" customHeight="1">
      <c r="A48" s="358"/>
      <c r="B48" s="359"/>
      <c r="C48" s="369"/>
      <c r="D48" s="384"/>
      <c r="E48" s="324">
        <f>IF(E$8&gt;$E$2,"",DATEDIF(E$8,$E$2,"y"))</f>
        <v>122</v>
      </c>
      <c r="F48" s="324">
        <f>IF(F$8&gt;$E$2,"",DATEDIF(F$8,$E$2,"y"))</f>
        <v>122</v>
      </c>
      <c r="G48" s="324">
        <f>IF(G$8&gt;$E$2,"",DATEDIF(G$8,$E$2,"y"))</f>
        <v>122</v>
      </c>
      <c r="H48" s="324">
        <f>IF(H$8&gt;$E$2,"",DATEDIF(H$8,$E$2,"y"))</f>
        <v>122</v>
      </c>
      <c r="I48" s="1872">
        <f>IF(I$8&gt;$E$2,"",DATEDIF(I$8,$E$2,"y"))</f>
        <v>122</v>
      </c>
      <c r="J48" s="400">
        <f t="shared" ref="J48:J75" si="7">COUNTIF(E48:I48,"&lt;7")</f>
        <v>0</v>
      </c>
      <c r="K48" s="394">
        <f t="shared" ref="K48:K78" si="8">IF(J48=1,C$23*0.36,0)</f>
        <v>0</v>
      </c>
      <c r="L48" s="395">
        <f t="shared" ref="L48:L78" si="9">IF(OR(Q48&gt;0,Z48&gt;0,AB48&gt;0,AD48&gt;0),0,K48)</f>
        <v>0</v>
      </c>
      <c r="M48" s="396">
        <f t="shared" ref="M48:M75" si="10">SUMPRODUCT((E48:I48&gt;6)*(E48:I48&lt;18))</f>
        <v>0</v>
      </c>
      <c r="N48" s="394">
        <f t="shared" ref="N48:N78" si="11">IF(AND(K48=0,M48=1),C$23*0.12,0)</f>
        <v>0</v>
      </c>
      <c r="O48" s="395">
        <f t="shared" ref="O48:O78" si="12">IF(OR(Z48&gt;0,AB48&gt;0),0,N48)</f>
        <v>0</v>
      </c>
      <c r="P48" s="397">
        <f t="shared" ref="P48:P75" si="13">COUNTIF(E48:I48,"&lt;16")</f>
        <v>0</v>
      </c>
      <c r="Q48" s="394">
        <f t="shared" ref="Q48:Q78" si="14">IF(P48=2,C$23*0.36,0)</f>
        <v>0</v>
      </c>
      <c r="R48" s="395">
        <f t="shared" ref="R48:R78" si="15">IF(OR(Z48&gt;0,AB48&gt;0,AD48&gt;0),0,Q48)</f>
        <v>0</v>
      </c>
      <c r="S48" s="398">
        <f t="shared" ref="S48:S75" si="16">SUMPRODUCT((E48:I48&gt;15)*(E48:I48&lt;18))</f>
        <v>0</v>
      </c>
      <c r="T48" s="399">
        <f t="shared" ref="T48:T78" si="17">IF(S48=2,C$23*0.24,0)</f>
        <v>0</v>
      </c>
      <c r="U48" s="394">
        <f t="shared" ref="U48:U78" si="18">IF(OR(Z48&gt;0,AB48&gt;0,AD48&gt;0),0,T48)</f>
        <v>0</v>
      </c>
      <c r="V48" s="400">
        <f t="shared" ref="V48:V75" si="19">SUMPRODUCT((E48:I48&gt;6)*(E48:I48&lt;16))+SUMPRODUCT((E48:I48&gt;15)*(E48:I48&lt;18))</f>
        <v>0</v>
      </c>
      <c r="W48" s="394">
        <f t="shared" ref="W48:W78" si="20">IF(AND(Q48=0,V48=2),C$23*0.24,0)</f>
        <v>0</v>
      </c>
      <c r="X48" s="395">
        <f t="shared" ref="X48:X78" si="21">IF(OR(T48&gt;0,Z48&gt;0,AB48&gt;0,AD48&gt;0),0,W48)</f>
        <v>0</v>
      </c>
      <c r="Y48" s="401">
        <f t="shared" ref="Y48:Y75" si="22">COUNTIF(E48:I48,"&lt;18")</f>
        <v>0</v>
      </c>
      <c r="Z48" s="365">
        <f t="shared" ref="Z48:Z78" si="23">IF(Y48=3,C$23*0.36,0)</f>
        <v>0</v>
      </c>
      <c r="AA48" s="401">
        <f t="shared" ref="AA48:AA75" si="24">COUNTIF(E48:I48,"&lt;18")</f>
        <v>0</v>
      </c>
      <c r="AB48" s="365">
        <f t="shared" ref="AB48:AB78" si="25">IF(AA48=4,C$23*0.48,0)</f>
        <v>0</v>
      </c>
      <c r="AC48" s="401">
        <f t="shared" ref="AC48:AC75" si="26">COUNTIF(E48:I48,"&lt;18")</f>
        <v>0</v>
      </c>
      <c r="AD48" s="365">
        <f t="shared" ref="AD48:AD78" si="27">IF(AC48=5,C$23*0.6,0)</f>
        <v>0</v>
      </c>
      <c r="AE48" s="402"/>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row>
    <row r="49" spans="1:64" ht="18" hidden="1" customHeight="1">
      <c r="A49" s="358"/>
      <c r="B49" s="359"/>
      <c r="C49" s="369"/>
      <c r="D49" s="384"/>
      <c r="E49" s="324">
        <f>IF(E8&gt;$E$2+1,"",DATEDIF(E8,$E$2+1,"y"))</f>
        <v>122</v>
      </c>
      <c r="F49" s="324">
        <f>IF(F8&gt;$E$2+1,"",DATEDIF(F8,$E$2+1,"y"))</f>
        <v>122</v>
      </c>
      <c r="G49" s="324">
        <f>IF(G8&gt;$E$2+1,"",DATEDIF(G8,$E$2+1,"y"))</f>
        <v>122</v>
      </c>
      <c r="H49" s="324">
        <f>IF(H8&gt;$E$2+1,"",DATEDIF(H8,$E$2+1,"y"))</f>
        <v>122</v>
      </c>
      <c r="I49" s="324">
        <f>IF(I8&gt;$E$2+1,"",DATEDIF(I8,$E$2+1,"y"))</f>
        <v>122</v>
      </c>
      <c r="J49" s="400">
        <f t="shared" si="7"/>
        <v>0</v>
      </c>
      <c r="K49" s="394">
        <f t="shared" si="8"/>
        <v>0</v>
      </c>
      <c r="L49" s="395">
        <f t="shared" si="9"/>
        <v>0</v>
      </c>
      <c r="M49" s="396">
        <f t="shared" si="10"/>
        <v>0</v>
      </c>
      <c r="N49" s="394">
        <f t="shared" si="11"/>
        <v>0</v>
      </c>
      <c r="O49" s="395">
        <f t="shared" si="12"/>
        <v>0</v>
      </c>
      <c r="P49" s="397">
        <f t="shared" si="13"/>
        <v>0</v>
      </c>
      <c r="Q49" s="394">
        <f t="shared" si="14"/>
        <v>0</v>
      </c>
      <c r="R49" s="395">
        <f t="shared" si="15"/>
        <v>0</v>
      </c>
      <c r="S49" s="398">
        <f t="shared" si="16"/>
        <v>0</v>
      </c>
      <c r="T49" s="370">
        <f t="shared" si="17"/>
        <v>0</v>
      </c>
      <c r="U49" s="394">
        <f t="shared" si="18"/>
        <v>0</v>
      </c>
      <c r="V49" s="400">
        <f t="shared" si="19"/>
        <v>0</v>
      </c>
      <c r="W49" s="394">
        <f t="shared" si="20"/>
        <v>0</v>
      </c>
      <c r="X49" s="395">
        <f t="shared" si="21"/>
        <v>0</v>
      </c>
      <c r="Y49" s="102">
        <f t="shared" si="22"/>
        <v>0</v>
      </c>
      <c r="Z49" s="339">
        <f t="shared" si="23"/>
        <v>0</v>
      </c>
      <c r="AA49" s="102">
        <f t="shared" si="24"/>
        <v>0</v>
      </c>
      <c r="AB49" s="339">
        <f t="shared" si="25"/>
        <v>0</v>
      </c>
      <c r="AC49" s="102">
        <f t="shared" si="26"/>
        <v>0</v>
      </c>
      <c r="AD49" s="339">
        <f t="shared" si="27"/>
        <v>0</v>
      </c>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row>
    <row r="50" spans="1:64" ht="18" hidden="1" customHeight="1">
      <c r="A50" s="358"/>
      <c r="B50" s="359"/>
      <c r="C50" s="369"/>
      <c r="D50" s="384"/>
      <c r="E50" s="324">
        <f>IF(E8&gt;$E$2+2,"",DATEDIF(E8,$E$2+2,"y"))</f>
        <v>122</v>
      </c>
      <c r="F50" s="324">
        <f>IF(F8&gt;$E$2+2,"",DATEDIF(F8,$E$2+2,"y"))</f>
        <v>122</v>
      </c>
      <c r="G50" s="324">
        <f>IF(G8&gt;$E$2+2,"",DATEDIF(G8,$E$2+2,"y"))</f>
        <v>122</v>
      </c>
      <c r="H50" s="324">
        <f>IF(H8&gt;$E$2+2,"",DATEDIF(H8,$E$2+2,"y"))</f>
        <v>122</v>
      </c>
      <c r="I50" s="324">
        <f>IF(I8&gt;$E$2+2,"",DATEDIF(I8,$E$2+2,"y"))</f>
        <v>122</v>
      </c>
      <c r="J50" s="400">
        <f t="shared" si="7"/>
        <v>0</v>
      </c>
      <c r="K50" s="394">
        <f t="shared" si="8"/>
        <v>0</v>
      </c>
      <c r="L50" s="395">
        <f t="shared" si="9"/>
        <v>0</v>
      </c>
      <c r="M50" s="396">
        <f t="shared" si="10"/>
        <v>0</v>
      </c>
      <c r="N50" s="394">
        <f t="shared" si="11"/>
        <v>0</v>
      </c>
      <c r="O50" s="395">
        <f t="shared" si="12"/>
        <v>0</v>
      </c>
      <c r="P50" s="397">
        <f t="shared" si="13"/>
        <v>0</v>
      </c>
      <c r="Q50" s="394">
        <f t="shared" si="14"/>
        <v>0</v>
      </c>
      <c r="R50" s="395">
        <f t="shared" si="15"/>
        <v>0</v>
      </c>
      <c r="S50" s="398">
        <f t="shared" si="16"/>
        <v>0</v>
      </c>
      <c r="T50" s="370">
        <f t="shared" si="17"/>
        <v>0</v>
      </c>
      <c r="U50" s="394">
        <f t="shared" si="18"/>
        <v>0</v>
      </c>
      <c r="V50" s="400">
        <f t="shared" si="19"/>
        <v>0</v>
      </c>
      <c r="W50" s="394">
        <f t="shared" si="20"/>
        <v>0</v>
      </c>
      <c r="X50" s="395">
        <f t="shared" si="21"/>
        <v>0</v>
      </c>
      <c r="Y50" s="102">
        <f t="shared" si="22"/>
        <v>0</v>
      </c>
      <c r="Z50" s="339">
        <f t="shared" si="23"/>
        <v>0</v>
      </c>
      <c r="AA50" s="102">
        <f t="shared" si="24"/>
        <v>0</v>
      </c>
      <c r="AB50" s="339">
        <f t="shared" si="25"/>
        <v>0</v>
      </c>
      <c r="AC50" s="102">
        <f t="shared" si="26"/>
        <v>0</v>
      </c>
      <c r="AD50" s="339">
        <f t="shared" si="27"/>
        <v>0</v>
      </c>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row>
    <row r="51" spans="1:64" ht="18" hidden="1" customHeight="1">
      <c r="A51" s="358"/>
      <c r="B51" s="359"/>
      <c r="C51" s="369"/>
      <c r="D51" s="384"/>
      <c r="E51" s="324">
        <f>IF(E8&gt;$E$2+3,"",DATEDIF(E8,$E$2+3,"y"))</f>
        <v>122</v>
      </c>
      <c r="F51" s="324">
        <f>IF(F8&gt;$E$2+3,"",DATEDIF(F8,$E$2+3,"y"))</f>
        <v>122</v>
      </c>
      <c r="G51" s="324">
        <f>IF(G8&gt;$E$2+3,"",DATEDIF(G8,$E$2+3,"y"))</f>
        <v>122</v>
      </c>
      <c r="H51" s="324">
        <f>IF(H8&gt;$E$2+3,"",DATEDIF(H8,$E$2+3,"y"))</f>
        <v>122</v>
      </c>
      <c r="I51" s="324">
        <f>IF(I8&gt;$E$2+3,"",DATEDIF(I8,$E$2+3,"y"))</f>
        <v>122</v>
      </c>
      <c r="J51" s="400">
        <f t="shared" si="7"/>
        <v>0</v>
      </c>
      <c r="K51" s="394">
        <f t="shared" si="8"/>
        <v>0</v>
      </c>
      <c r="L51" s="395">
        <f t="shared" si="9"/>
        <v>0</v>
      </c>
      <c r="M51" s="396">
        <f t="shared" si="10"/>
        <v>0</v>
      </c>
      <c r="N51" s="394">
        <f t="shared" si="11"/>
        <v>0</v>
      </c>
      <c r="O51" s="395">
        <f t="shared" si="12"/>
        <v>0</v>
      </c>
      <c r="P51" s="397">
        <f t="shared" si="13"/>
        <v>0</v>
      </c>
      <c r="Q51" s="394">
        <f t="shared" si="14"/>
        <v>0</v>
      </c>
      <c r="R51" s="395">
        <f t="shared" si="15"/>
        <v>0</v>
      </c>
      <c r="S51" s="398">
        <f t="shared" si="16"/>
        <v>0</v>
      </c>
      <c r="T51" s="370">
        <f t="shared" si="17"/>
        <v>0</v>
      </c>
      <c r="U51" s="394">
        <f t="shared" si="18"/>
        <v>0</v>
      </c>
      <c r="V51" s="400">
        <f t="shared" si="19"/>
        <v>0</v>
      </c>
      <c r="W51" s="394">
        <f t="shared" si="20"/>
        <v>0</v>
      </c>
      <c r="X51" s="395">
        <f t="shared" si="21"/>
        <v>0</v>
      </c>
      <c r="Y51" s="102">
        <f t="shared" si="22"/>
        <v>0</v>
      </c>
      <c r="Z51" s="339">
        <f t="shared" si="23"/>
        <v>0</v>
      </c>
      <c r="AA51" s="102">
        <f t="shared" si="24"/>
        <v>0</v>
      </c>
      <c r="AB51" s="339">
        <f t="shared" si="25"/>
        <v>0</v>
      </c>
      <c r="AC51" s="102">
        <f t="shared" si="26"/>
        <v>0</v>
      </c>
      <c r="AD51" s="339">
        <f t="shared" si="27"/>
        <v>0</v>
      </c>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row>
    <row r="52" spans="1:64" ht="18" hidden="1" customHeight="1">
      <c r="A52" s="358"/>
      <c r="B52" s="359"/>
      <c r="C52" s="369"/>
      <c r="D52" s="384"/>
      <c r="E52" s="324">
        <f>IF(E8&gt;$E$2+4,"",DATEDIF(E8,$E$2+4,"y"))</f>
        <v>122</v>
      </c>
      <c r="F52" s="324">
        <f>IF(F8&gt;$E$2+4,"",DATEDIF(F8,$E$2+4,"y"))</f>
        <v>122</v>
      </c>
      <c r="G52" s="324">
        <f>IF(G8&gt;$E$2+4,"",DATEDIF(G8,$E$2+4,"y"))</f>
        <v>122</v>
      </c>
      <c r="H52" s="324">
        <f>IF(H8&gt;$E$2+4,"",DATEDIF(H8,$E$2+4,"y"))</f>
        <v>122</v>
      </c>
      <c r="I52" s="324">
        <f>IF(I8&gt;$E$2+4,"",DATEDIF(I8,$E$2+4,"y"))</f>
        <v>122</v>
      </c>
      <c r="J52" s="400">
        <f t="shared" si="7"/>
        <v>0</v>
      </c>
      <c r="K52" s="394">
        <f t="shared" si="8"/>
        <v>0</v>
      </c>
      <c r="L52" s="395">
        <f t="shared" si="9"/>
        <v>0</v>
      </c>
      <c r="M52" s="396">
        <f t="shared" si="10"/>
        <v>0</v>
      </c>
      <c r="N52" s="394">
        <f t="shared" si="11"/>
        <v>0</v>
      </c>
      <c r="O52" s="395">
        <f t="shared" si="12"/>
        <v>0</v>
      </c>
      <c r="P52" s="397">
        <f t="shared" si="13"/>
        <v>0</v>
      </c>
      <c r="Q52" s="394">
        <f t="shared" si="14"/>
        <v>0</v>
      </c>
      <c r="R52" s="395">
        <f t="shared" si="15"/>
        <v>0</v>
      </c>
      <c r="S52" s="398">
        <f t="shared" si="16"/>
        <v>0</v>
      </c>
      <c r="T52" s="370">
        <f t="shared" si="17"/>
        <v>0</v>
      </c>
      <c r="U52" s="394">
        <f t="shared" si="18"/>
        <v>0</v>
      </c>
      <c r="V52" s="400">
        <f t="shared" si="19"/>
        <v>0</v>
      </c>
      <c r="W52" s="394">
        <f t="shared" si="20"/>
        <v>0</v>
      </c>
      <c r="X52" s="395">
        <f t="shared" si="21"/>
        <v>0</v>
      </c>
      <c r="Y52" s="102">
        <f t="shared" si="22"/>
        <v>0</v>
      </c>
      <c r="Z52" s="339">
        <f t="shared" si="23"/>
        <v>0</v>
      </c>
      <c r="AA52" s="102">
        <f t="shared" si="24"/>
        <v>0</v>
      </c>
      <c r="AB52" s="339">
        <f t="shared" si="25"/>
        <v>0</v>
      </c>
      <c r="AC52" s="102">
        <f t="shared" si="26"/>
        <v>0</v>
      </c>
      <c r="AD52" s="339">
        <f t="shared" si="27"/>
        <v>0</v>
      </c>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row>
    <row r="53" spans="1:64" ht="18" hidden="1" customHeight="1">
      <c r="A53" s="358"/>
      <c r="B53" s="359"/>
      <c r="C53" s="369"/>
      <c r="D53" s="384"/>
      <c r="E53" s="324">
        <f>IF(E8&gt;$E$2+5,"",DATEDIF(E8,$E$2+5,"y"))</f>
        <v>122</v>
      </c>
      <c r="F53" s="324">
        <f>IF(F8&gt;$E$2+5,"",DATEDIF(F8,$E$2+5,"y"))</f>
        <v>122</v>
      </c>
      <c r="G53" s="324">
        <f>IF(G8&gt;$E$2+5,"",DATEDIF(G8,$E$2+5,"y"))</f>
        <v>122</v>
      </c>
      <c r="H53" s="324">
        <f>IF(H8&gt;$E$2+5,"",DATEDIF(H8,$E$2+5,"y"))</f>
        <v>122</v>
      </c>
      <c r="I53" s="324">
        <f>IF(I8&gt;$E$2+5,"",DATEDIF(I8,$E$2+5,"y"))</f>
        <v>122</v>
      </c>
      <c r="J53" s="400">
        <f t="shared" si="7"/>
        <v>0</v>
      </c>
      <c r="K53" s="394">
        <f t="shared" si="8"/>
        <v>0</v>
      </c>
      <c r="L53" s="395">
        <f t="shared" si="9"/>
        <v>0</v>
      </c>
      <c r="M53" s="396">
        <f t="shared" si="10"/>
        <v>0</v>
      </c>
      <c r="N53" s="394">
        <f t="shared" si="11"/>
        <v>0</v>
      </c>
      <c r="O53" s="395">
        <f t="shared" si="12"/>
        <v>0</v>
      </c>
      <c r="P53" s="397">
        <f t="shared" si="13"/>
        <v>0</v>
      </c>
      <c r="Q53" s="394">
        <f t="shared" si="14"/>
        <v>0</v>
      </c>
      <c r="R53" s="395">
        <f t="shared" si="15"/>
        <v>0</v>
      </c>
      <c r="S53" s="398">
        <f t="shared" si="16"/>
        <v>0</v>
      </c>
      <c r="T53" s="370">
        <f t="shared" si="17"/>
        <v>0</v>
      </c>
      <c r="U53" s="394">
        <f t="shared" si="18"/>
        <v>0</v>
      </c>
      <c r="V53" s="400">
        <f t="shared" si="19"/>
        <v>0</v>
      </c>
      <c r="W53" s="394">
        <f t="shared" si="20"/>
        <v>0</v>
      </c>
      <c r="X53" s="395">
        <f t="shared" si="21"/>
        <v>0</v>
      </c>
      <c r="Y53" s="102">
        <f t="shared" si="22"/>
        <v>0</v>
      </c>
      <c r="Z53" s="339">
        <f t="shared" si="23"/>
        <v>0</v>
      </c>
      <c r="AA53" s="102">
        <f t="shared" si="24"/>
        <v>0</v>
      </c>
      <c r="AB53" s="339">
        <f t="shared" si="25"/>
        <v>0</v>
      </c>
      <c r="AC53" s="102">
        <f t="shared" si="26"/>
        <v>0</v>
      </c>
      <c r="AD53" s="339">
        <f t="shared" si="27"/>
        <v>0</v>
      </c>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row>
    <row r="54" spans="1:64" ht="18" hidden="1" customHeight="1">
      <c r="A54" s="358"/>
      <c r="B54" s="359"/>
      <c r="C54" s="369"/>
      <c r="D54" s="384"/>
      <c r="E54" s="324">
        <f>IF(E8&gt;$E$2+6,"",DATEDIF(E8,$E$2+6,"y"))</f>
        <v>122</v>
      </c>
      <c r="F54" s="324">
        <f>IF(F8&gt;$E$2+6,"",DATEDIF(F8,$E$2+6,"y"))</f>
        <v>122</v>
      </c>
      <c r="G54" s="324">
        <f>IF(G8&gt;$E$2+6,"",DATEDIF(G8,$E$2+6,"y"))</f>
        <v>122</v>
      </c>
      <c r="H54" s="324">
        <f>IF(H8&gt;$E$2+6,"",DATEDIF(H8,$E$2+6,"y"))</f>
        <v>122</v>
      </c>
      <c r="I54" s="324">
        <f>IF(I8&gt;$E$2+6,"",DATEDIF(I8,$E$2+6,"y"))</f>
        <v>122</v>
      </c>
      <c r="J54" s="400">
        <f t="shared" si="7"/>
        <v>0</v>
      </c>
      <c r="K54" s="394">
        <f t="shared" si="8"/>
        <v>0</v>
      </c>
      <c r="L54" s="395">
        <f t="shared" si="9"/>
        <v>0</v>
      </c>
      <c r="M54" s="396">
        <f t="shared" si="10"/>
        <v>0</v>
      </c>
      <c r="N54" s="394">
        <f t="shared" si="11"/>
        <v>0</v>
      </c>
      <c r="O54" s="395">
        <f t="shared" si="12"/>
        <v>0</v>
      </c>
      <c r="P54" s="397">
        <f t="shared" si="13"/>
        <v>0</v>
      </c>
      <c r="Q54" s="394">
        <f t="shared" si="14"/>
        <v>0</v>
      </c>
      <c r="R54" s="395">
        <f t="shared" si="15"/>
        <v>0</v>
      </c>
      <c r="S54" s="398">
        <f t="shared" si="16"/>
        <v>0</v>
      </c>
      <c r="T54" s="370">
        <f t="shared" si="17"/>
        <v>0</v>
      </c>
      <c r="U54" s="394">
        <f t="shared" si="18"/>
        <v>0</v>
      </c>
      <c r="V54" s="400">
        <f t="shared" si="19"/>
        <v>0</v>
      </c>
      <c r="W54" s="394">
        <f t="shared" si="20"/>
        <v>0</v>
      </c>
      <c r="X54" s="395">
        <f t="shared" si="21"/>
        <v>0</v>
      </c>
      <c r="Y54" s="102">
        <f t="shared" si="22"/>
        <v>0</v>
      </c>
      <c r="Z54" s="339">
        <f t="shared" si="23"/>
        <v>0</v>
      </c>
      <c r="AA54" s="102">
        <f t="shared" si="24"/>
        <v>0</v>
      </c>
      <c r="AB54" s="339">
        <f t="shared" si="25"/>
        <v>0</v>
      </c>
      <c r="AC54" s="102">
        <f t="shared" si="26"/>
        <v>0</v>
      </c>
      <c r="AD54" s="339">
        <f t="shared" si="27"/>
        <v>0</v>
      </c>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row>
    <row r="55" spans="1:64" ht="18" hidden="1" customHeight="1">
      <c r="A55" s="358"/>
      <c r="B55" s="359"/>
      <c r="C55" s="369"/>
      <c r="D55" s="384"/>
      <c r="E55" s="324">
        <f>IF(E8&gt;$E$2+7,"",DATEDIF(E8,$E$2+7,"y"))</f>
        <v>122</v>
      </c>
      <c r="F55" s="324">
        <f>IF(F8&gt;$E$2+7,"",DATEDIF(F8,$E$2+7,"y"))</f>
        <v>122</v>
      </c>
      <c r="G55" s="324">
        <f>IF(G8&gt;$E$2+7,"",DATEDIF(G8,$E$2+7,"y"))</f>
        <v>122</v>
      </c>
      <c r="H55" s="324">
        <f>IF(H8&gt;$E$2+7,"",DATEDIF(H8,$E$2+7,"y"))</f>
        <v>122</v>
      </c>
      <c r="I55" s="324">
        <f>IF(I8&gt;$E$2+7,"",DATEDIF(I8,$E$2+7,"y"))</f>
        <v>122</v>
      </c>
      <c r="J55" s="400">
        <f t="shared" si="7"/>
        <v>0</v>
      </c>
      <c r="K55" s="394">
        <f t="shared" si="8"/>
        <v>0</v>
      </c>
      <c r="L55" s="395">
        <f t="shared" si="9"/>
        <v>0</v>
      </c>
      <c r="M55" s="396">
        <f t="shared" si="10"/>
        <v>0</v>
      </c>
      <c r="N55" s="394">
        <f t="shared" si="11"/>
        <v>0</v>
      </c>
      <c r="O55" s="395">
        <f t="shared" si="12"/>
        <v>0</v>
      </c>
      <c r="P55" s="397">
        <f t="shared" si="13"/>
        <v>0</v>
      </c>
      <c r="Q55" s="394">
        <f t="shared" si="14"/>
        <v>0</v>
      </c>
      <c r="R55" s="395">
        <f t="shared" si="15"/>
        <v>0</v>
      </c>
      <c r="S55" s="398">
        <f t="shared" si="16"/>
        <v>0</v>
      </c>
      <c r="T55" s="370">
        <f t="shared" si="17"/>
        <v>0</v>
      </c>
      <c r="U55" s="394">
        <f t="shared" si="18"/>
        <v>0</v>
      </c>
      <c r="V55" s="400">
        <f t="shared" si="19"/>
        <v>0</v>
      </c>
      <c r="W55" s="394">
        <f t="shared" si="20"/>
        <v>0</v>
      </c>
      <c r="X55" s="395">
        <f t="shared" si="21"/>
        <v>0</v>
      </c>
      <c r="Y55" s="102">
        <f t="shared" si="22"/>
        <v>0</v>
      </c>
      <c r="Z55" s="339">
        <f t="shared" si="23"/>
        <v>0</v>
      </c>
      <c r="AA55" s="102">
        <f t="shared" si="24"/>
        <v>0</v>
      </c>
      <c r="AB55" s="339">
        <f t="shared" si="25"/>
        <v>0</v>
      </c>
      <c r="AC55" s="102">
        <f t="shared" si="26"/>
        <v>0</v>
      </c>
      <c r="AD55" s="339">
        <f t="shared" si="27"/>
        <v>0</v>
      </c>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row>
    <row r="56" spans="1:64" ht="18" hidden="1" customHeight="1">
      <c r="A56" s="358"/>
      <c r="B56" s="359"/>
      <c r="C56" s="369"/>
      <c r="D56" s="384"/>
      <c r="E56" s="324">
        <f>IF(E8&gt;$E$2+8,"",DATEDIF(E8,$E$2+8,"y"))</f>
        <v>122</v>
      </c>
      <c r="F56" s="324">
        <f>IF(F8&gt;$E$2+8,"",DATEDIF(F8,$E$2+8,"y"))</f>
        <v>122</v>
      </c>
      <c r="G56" s="324">
        <f>IF(G8&gt;$E$2+8,"",DATEDIF(G8,$E$2+8,"y"))</f>
        <v>122</v>
      </c>
      <c r="H56" s="324">
        <f>IF(H8&gt;$E$2+8,"",DATEDIF(H8,$E$2+8,"y"))</f>
        <v>122</v>
      </c>
      <c r="I56" s="324">
        <f>IF(I8&gt;$E$2+8,"",DATEDIF(I8,$E$2+8,"y"))</f>
        <v>122</v>
      </c>
      <c r="J56" s="400">
        <f t="shared" si="7"/>
        <v>0</v>
      </c>
      <c r="K56" s="394">
        <f t="shared" si="8"/>
        <v>0</v>
      </c>
      <c r="L56" s="395">
        <f t="shared" si="9"/>
        <v>0</v>
      </c>
      <c r="M56" s="396">
        <f t="shared" si="10"/>
        <v>0</v>
      </c>
      <c r="N56" s="394">
        <f t="shared" si="11"/>
        <v>0</v>
      </c>
      <c r="O56" s="395">
        <f t="shared" si="12"/>
        <v>0</v>
      </c>
      <c r="P56" s="397">
        <f t="shared" si="13"/>
        <v>0</v>
      </c>
      <c r="Q56" s="394">
        <f t="shared" si="14"/>
        <v>0</v>
      </c>
      <c r="R56" s="395">
        <f t="shared" si="15"/>
        <v>0</v>
      </c>
      <c r="S56" s="398">
        <f t="shared" si="16"/>
        <v>0</v>
      </c>
      <c r="T56" s="370">
        <f t="shared" si="17"/>
        <v>0</v>
      </c>
      <c r="U56" s="394">
        <f t="shared" si="18"/>
        <v>0</v>
      </c>
      <c r="V56" s="400">
        <f t="shared" si="19"/>
        <v>0</v>
      </c>
      <c r="W56" s="394">
        <f t="shared" si="20"/>
        <v>0</v>
      </c>
      <c r="X56" s="395">
        <f t="shared" si="21"/>
        <v>0</v>
      </c>
      <c r="Y56" s="102">
        <f t="shared" si="22"/>
        <v>0</v>
      </c>
      <c r="Z56" s="339">
        <f t="shared" si="23"/>
        <v>0</v>
      </c>
      <c r="AA56" s="102">
        <f t="shared" si="24"/>
        <v>0</v>
      </c>
      <c r="AB56" s="339">
        <f t="shared" si="25"/>
        <v>0</v>
      </c>
      <c r="AC56" s="102">
        <f t="shared" si="26"/>
        <v>0</v>
      </c>
      <c r="AD56" s="339">
        <f t="shared" si="27"/>
        <v>0</v>
      </c>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row>
    <row r="57" spans="1:64" ht="18" hidden="1" customHeight="1">
      <c r="A57" s="358"/>
      <c r="B57" s="359"/>
      <c r="C57" s="369"/>
      <c r="D57" s="384"/>
      <c r="E57" s="324">
        <f>IF(E8&gt;$E$2+9,"",DATEDIF(E8,$E$2+9,"y"))</f>
        <v>122</v>
      </c>
      <c r="F57" s="324">
        <f>IF(F8&gt;$E$2+9,"",DATEDIF(F8,$E$2+9,"y"))</f>
        <v>122</v>
      </c>
      <c r="G57" s="324">
        <f>IF(G8&gt;$E$2+9,"",DATEDIF(G8,$E$2+9,"y"))</f>
        <v>122</v>
      </c>
      <c r="H57" s="324">
        <f>IF(H8&gt;$E$2+9,"",DATEDIF(H8,$E$2+9,"y"))</f>
        <v>122</v>
      </c>
      <c r="I57" s="324">
        <f>IF(I8&gt;$E$2+9,"",DATEDIF(I8,$E$2+9,"y"))</f>
        <v>122</v>
      </c>
      <c r="J57" s="400">
        <f t="shared" si="7"/>
        <v>0</v>
      </c>
      <c r="K57" s="394">
        <f t="shared" si="8"/>
        <v>0</v>
      </c>
      <c r="L57" s="395">
        <f t="shared" si="9"/>
        <v>0</v>
      </c>
      <c r="M57" s="396">
        <f t="shared" si="10"/>
        <v>0</v>
      </c>
      <c r="N57" s="394">
        <f t="shared" si="11"/>
        <v>0</v>
      </c>
      <c r="O57" s="395">
        <f t="shared" si="12"/>
        <v>0</v>
      </c>
      <c r="P57" s="397">
        <f t="shared" si="13"/>
        <v>0</v>
      </c>
      <c r="Q57" s="394">
        <f t="shared" si="14"/>
        <v>0</v>
      </c>
      <c r="R57" s="395">
        <f t="shared" si="15"/>
        <v>0</v>
      </c>
      <c r="S57" s="398">
        <f t="shared" si="16"/>
        <v>0</v>
      </c>
      <c r="T57" s="370">
        <f t="shared" si="17"/>
        <v>0</v>
      </c>
      <c r="U57" s="394">
        <f t="shared" si="18"/>
        <v>0</v>
      </c>
      <c r="V57" s="400">
        <f t="shared" si="19"/>
        <v>0</v>
      </c>
      <c r="W57" s="394">
        <f t="shared" si="20"/>
        <v>0</v>
      </c>
      <c r="X57" s="395">
        <f t="shared" si="21"/>
        <v>0</v>
      </c>
      <c r="Y57" s="102">
        <f t="shared" si="22"/>
        <v>0</v>
      </c>
      <c r="Z57" s="339">
        <f t="shared" si="23"/>
        <v>0</v>
      </c>
      <c r="AA57" s="102">
        <f t="shared" si="24"/>
        <v>0</v>
      </c>
      <c r="AB57" s="339">
        <f t="shared" si="25"/>
        <v>0</v>
      </c>
      <c r="AC57" s="102">
        <f t="shared" si="26"/>
        <v>0</v>
      </c>
      <c r="AD57" s="339">
        <f t="shared" si="27"/>
        <v>0</v>
      </c>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row>
    <row r="58" spans="1:64" ht="18" hidden="1" customHeight="1">
      <c r="A58" s="358"/>
      <c r="B58" s="359"/>
      <c r="C58" s="369"/>
      <c r="D58" s="384"/>
      <c r="E58" s="324">
        <f>IF(E8&gt;$E$2+10,"",DATEDIF(E8,$E$2+10,"y"))</f>
        <v>122</v>
      </c>
      <c r="F58" s="324">
        <f>IF(F8&gt;$E$2+10,"",DATEDIF(F8,$E$2+10,"y"))</f>
        <v>122</v>
      </c>
      <c r="G58" s="324">
        <f>IF(G8&gt;$E$2+10,"",DATEDIF(G8,$E$2+10,"y"))</f>
        <v>122</v>
      </c>
      <c r="H58" s="324">
        <f>IF(H8&gt;$E$2+10,"",DATEDIF(H8,$E$2+10,"y"))</f>
        <v>122</v>
      </c>
      <c r="I58" s="324">
        <f>IF(I8&gt;$E$2+10,"",DATEDIF(I8,$E$2+10,"y"))</f>
        <v>122</v>
      </c>
      <c r="J58" s="400">
        <f t="shared" si="7"/>
        <v>0</v>
      </c>
      <c r="K58" s="394">
        <f t="shared" si="8"/>
        <v>0</v>
      </c>
      <c r="L58" s="395">
        <f t="shared" si="9"/>
        <v>0</v>
      </c>
      <c r="M58" s="396">
        <f t="shared" si="10"/>
        <v>0</v>
      </c>
      <c r="N58" s="394">
        <f t="shared" si="11"/>
        <v>0</v>
      </c>
      <c r="O58" s="395">
        <f t="shared" si="12"/>
        <v>0</v>
      </c>
      <c r="P58" s="397">
        <f t="shared" si="13"/>
        <v>0</v>
      </c>
      <c r="Q58" s="394">
        <f t="shared" si="14"/>
        <v>0</v>
      </c>
      <c r="R58" s="395">
        <f t="shared" si="15"/>
        <v>0</v>
      </c>
      <c r="S58" s="398">
        <f t="shared" si="16"/>
        <v>0</v>
      </c>
      <c r="T58" s="370">
        <f t="shared" si="17"/>
        <v>0</v>
      </c>
      <c r="U58" s="394">
        <f t="shared" si="18"/>
        <v>0</v>
      </c>
      <c r="V58" s="400">
        <f t="shared" si="19"/>
        <v>0</v>
      </c>
      <c r="W58" s="394">
        <f t="shared" si="20"/>
        <v>0</v>
      </c>
      <c r="X58" s="395">
        <f t="shared" si="21"/>
        <v>0</v>
      </c>
      <c r="Y58" s="102">
        <f t="shared" si="22"/>
        <v>0</v>
      </c>
      <c r="Z58" s="339">
        <f t="shared" si="23"/>
        <v>0</v>
      </c>
      <c r="AA58" s="102">
        <f t="shared" si="24"/>
        <v>0</v>
      </c>
      <c r="AB58" s="339">
        <f t="shared" si="25"/>
        <v>0</v>
      </c>
      <c r="AC58" s="102">
        <f t="shared" si="26"/>
        <v>0</v>
      </c>
      <c r="AD58" s="339">
        <f t="shared" si="27"/>
        <v>0</v>
      </c>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row>
    <row r="59" spans="1:64" ht="18" hidden="1" customHeight="1">
      <c r="A59" s="358"/>
      <c r="B59" s="359"/>
      <c r="C59" s="369"/>
      <c r="D59" s="384"/>
      <c r="E59" s="324">
        <f>IF(E8&gt;$E$2+11,"",DATEDIF(E8,$E$2+11,"y"))</f>
        <v>122</v>
      </c>
      <c r="F59" s="324">
        <f>IF(F8&gt;$E$2+11,"",DATEDIF(F8,$E$2+11,"y"))</f>
        <v>122</v>
      </c>
      <c r="G59" s="324">
        <f>IF(G8&gt;$E$2+11,"",DATEDIF(G8,$E$2+11,"y"))</f>
        <v>122</v>
      </c>
      <c r="H59" s="324">
        <f>IF(H8&gt;$E$2+11,"",DATEDIF(H8,$E$2+11,"y"))</f>
        <v>122</v>
      </c>
      <c r="I59" s="324">
        <f>IF(I8&gt;$E$2+11,"",DATEDIF(I8,$E$2+11,"y"))</f>
        <v>122</v>
      </c>
      <c r="J59" s="400">
        <f t="shared" si="7"/>
        <v>0</v>
      </c>
      <c r="K59" s="394">
        <f t="shared" si="8"/>
        <v>0</v>
      </c>
      <c r="L59" s="395">
        <f t="shared" si="9"/>
        <v>0</v>
      </c>
      <c r="M59" s="396">
        <f t="shared" si="10"/>
        <v>0</v>
      </c>
      <c r="N59" s="394">
        <f t="shared" si="11"/>
        <v>0</v>
      </c>
      <c r="O59" s="395">
        <f t="shared" si="12"/>
        <v>0</v>
      </c>
      <c r="P59" s="397">
        <f t="shared" si="13"/>
        <v>0</v>
      </c>
      <c r="Q59" s="394">
        <f t="shared" si="14"/>
        <v>0</v>
      </c>
      <c r="R59" s="395">
        <f t="shared" si="15"/>
        <v>0</v>
      </c>
      <c r="S59" s="398">
        <f t="shared" si="16"/>
        <v>0</v>
      </c>
      <c r="T59" s="370">
        <f t="shared" si="17"/>
        <v>0</v>
      </c>
      <c r="U59" s="394">
        <f t="shared" si="18"/>
        <v>0</v>
      </c>
      <c r="V59" s="400">
        <f t="shared" si="19"/>
        <v>0</v>
      </c>
      <c r="W59" s="394">
        <f t="shared" si="20"/>
        <v>0</v>
      </c>
      <c r="X59" s="395">
        <f t="shared" si="21"/>
        <v>0</v>
      </c>
      <c r="Y59" s="102">
        <f t="shared" si="22"/>
        <v>0</v>
      </c>
      <c r="Z59" s="339">
        <f t="shared" si="23"/>
        <v>0</v>
      </c>
      <c r="AA59" s="102">
        <f t="shared" si="24"/>
        <v>0</v>
      </c>
      <c r="AB59" s="339">
        <f t="shared" si="25"/>
        <v>0</v>
      </c>
      <c r="AC59" s="102">
        <f t="shared" si="26"/>
        <v>0</v>
      </c>
      <c r="AD59" s="339">
        <f t="shared" si="27"/>
        <v>0</v>
      </c>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row>
    <row r="60" spans="1:64" ht="18" hidden="1" customHeight="1">
      <c r="A60" s="358"/>
      <c r="B60" s="359"/>
      <c r="C60" s="369"/>
      <c r="D60" s="384"/>
      <c r="E60" s="324">
        <f>IF(E8&gt;$E$2+12,"",DATEDIF(E8,$E$2+12,"y"))</f>
        <v>122</v>
      </c>
      <c r="F60" s="324">
        <f>IF(F8&gt;$E$2+12,"",DATEDIF(F8,$E$2+12,"y"))</f>
        <v>122</v>
      </c>
      <c r="G60" s="324">
        <f>IF(G8&gt;$E$2+12,"",DATEDIF(G8,$E$2+12,"y"))</f>
        <v>122</v>
      </c>
      <c r="H60" s="324">
        <f>IF(H8&gt;$E$2+12,"",DATEDIF(H8,$E$2+12,"y"))</f>
        <v>122</v>
      </c>
      <c r="I60" s="324">
        <f>IF(I8&gt;$E$2+12,"",DATEDIF(I8,$E$2+12,"y"))</f>
        <v>122</v>
      </c>
      <c r="J60" s="400">
        <f t="shared" si="7"/>
        <v>0</v>
      </c>
      <c r="K60" s="394">
        <f t="shared" si="8"/>
        <v>0</v>
      </c>
      <c r="L60" s="395">
        <f t="shared" si="9"/>
        <v>0</v>
      </c>
      <c r="M60" s="396">
        <f t="shared" si="10"/>
        <v>0</v>
      </c>
      <c r="N60" s="394">
        <f t="shared" si="11"/>
        <v>0</v>
      </c>
      <c r="O60" s="395">
        <f t="shared" si="12"/>
        <v>0</v>
      </c>
      <c r="P60" s="397">
        <f t="shared" si="13"/>
        <v>0</v>
      </c>
      <c r="Q60" s="394">
        <f t="shared" si="14"/>
        <v>0</v>
      </c>
      <c r="R60" s="395">
        <f t="shared" si="15"/>
        <v>0</v>
      </c>
      <c r="S60" s="398">
        <f t="shared" si="16"/>
        <v>0</v>
      </c>
      <c r="T60" s="370">
        <f t="shared" si="17"/>
        <v>0</v>
      </c>
      <c r="U60" s="394">
        <f t="shared" si="18"/>
        <v>0</v>
      </c>
      <c r="V60" s="400">
        <f t="shared" si="19"/>
        <v>0</v>
      </c>
      <c r="W60" s="394">
        <f t="shared" si="20"/>
        <v>0</v>
      </c>
      <c r="X60" s="395">
        <f t="shared" si="21"/>
        <v>0</v>
      </c>
      <c r="Y60" s="102">
        <f t="shared" si="22"/>
        <v>0</v>
      </c>
      <c r="Z60" s="339">
        <f t="shared" si="23"/>
        <v>0</v>
      </c>
      <c r="AA60" s="102">
        <f t="shared" si="24"/>
        <v>0</v>
      </c>
      <c r="AB60" s="339">
        <f t="shared" si="25"/>
        <v>0</v>
      </c>
      <c r="AC60" s="102">
        <f t="shared" si="26"/>
        <v>0</v>
      </c>
      <c r="AD60" s="339">
        <f t="shared" si="27"/>
        <v>0</v>
      </c>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row>
    <row r="61" spans="1:64" ht="18" hidden="1" customHeight="1">
      <c r="A61" s="358"/>
      <c r="B61" s="359"/>
      <c r="C61" s="369"/>
      <c r="D61" s="384"/>
      <c r="E61" s="324">
        <f>IF(E8&gt;$E$2+13,"",DATEDIF(E8,$E$2+13,"y"))</f>
        <v>122</v>
      </c>
      <c r="F61" s="324">
        <f>IF(F8&gt;$E$2+13,"",DATEDIF(F8,$E$2+13,"y"))</f>
        <v>122</v>
      </c>
      <c r="G61" s="324">
        <f>IF(G8&gt;$E$2+13,"",DATEDIF(G8,$E$2+13,"y"))</f>
        <v>122</v>
      </c>
      <c r="H61" s="324">
        <f>IF(H8&gt;$E$2+13,"",DATEDIF(H8,$E$2+13,"y"))</f>
        <v>122</v>
      </c>
      <c r="I61" s="324">
        <f>IF(I8&gt;$E$2+13,"",DATEDIF(I8,$E$2+13,"y"))</f>
        <v>122</v>
      </c>
      <c r="J61" s="400">
        <f t="shared" si="7"/>
        <v>0</v>
      </c>
      <c r="K61" s="394">
        <f t="shared" si="8"/>
        <v>0</v>
      </c>
      <c r="L61" s="395">
        <f t="shared" si="9"/>
        <v>0</v>
      </c>
      <c r="M61" s="396">
        <f t="shared" si="10"/>
        <v>0</v>
      </c>
      <c r="N61" s="394">
        <f t="shared" si="11"/>
        <v>0</v>
      </c>
      <c r="O61" s="395">
        <f t="shared" si="12"/>
        <v>0</v>
      </c>
      <c r="P61" s="397">
        <f t="shared" si="13"/>
        <v>0</v>
      </c>
      <c r="Q61" s="394">
        <f t="shared" si="14"/>
        <v>0</v>
      </c>
      <c r="R61" s="395">
        <f t="shared" si="15"/>
        <v>0</v>
      </c>
      <c r="S61" s="398">
        <f t="shared" si="16"/>
        <v>0</v>
      </c>
      <c r="T61" s="370">
        <f t="shared" si="17"/>
        <v>0</v>
      </c>
      <c r="U61" s="394">
        <f t="shared" si="18"/>
        <v>0</v>
      </c>
      <c r="V61" s="400">
        <f t="shared" si="19"/>
        <v>0</v>
      </c>
      <c r="W61" s="394">
        <f t="shared" si="20"/>
        <v>0</v>
      </c>
      <c r="X61" s="395">
        <f t="shared" si="21"/>
        <v>0</v>
      </c>
      <c r="Y61" s="102">
        <f t="shared" si="22"/>
        <v>0</v>
      </c>
      <c r="Z61" s="339">
        <f t="shared" si="23"/>
        <v>0</v>
      </c>
      <c r="AA61" s="102">
        <f t="shared" si="24"/>
        <v>0</v>
      </c>
      <c r="AB61" s="339">
        <f t="shared" si="25"/>
        <v>0</v>
      </c>
      <c r="AC61" s="102">
        <f t="shared" si="26"/>
        <v>0</v>
      </c>
      <c r="AD61" s="339">
        <f t="shared" si="27"/>
        <v>0</v>
      </c>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row>
    <row r="62" spans="1:64" ht="18" hidden="1" customHeight="1">
      <c r="A62" s="358"/>
      <c r="B62" s="359"/>
      <c r="C62" s="369"/>
      <c r="D62" s="384"/>
      <c r="E62" s="324">
        <f>IF(E8&gt;$E$2+14,"",DATEDIF(E8,$E$2+14,"y"))</f>
        <v>122</v>
      </c>
      <c r="F62" s="324">
        <f>IF(F8&gt;$E$2+14,"",DATEDIF(F8,$E$2+14,"y"))</f>
        <v>122</v>
      </c>
      <c r="G62" s="324">
        <f>IF(G8&gt;$E$2+14,"",DATEDIF(G8,$E$2+14,"y"))</f>
        <v>122</v>
      </c>
      <c r="H62" s="324">
        <f>IF(H8&gt;$E$2+14,"",DATEDIF(H8,$E$2+14,"y"))</f>
        <v>122</v>
      </c>
      <c r="I62" s="324">
        <f>IF(I8&gt;$E$2+14,"",DATEDIF(I8,$E$2+14,"y"))</f>
        <v>122</v>
      </c>
      <c r="J62" s="400">
        <f t="shared" si="7"/>
        <v>0</v>
      </c>
      <c r="K62" s="394">
        <f t="shared" si="8"/>
        <v>0</v>
      </c>
      <c r="L62" s="395">
        <f t="shared" si="9"/>
        <v>0</v>
      </c>
      <c r="M62" s="396">
        <f t="shared" si="10"/>
        <v>0</v>
      </c>
      <c r="N62" s="394">
        <f t="shared" si="11"/>
        <v>0</v>
      </c>
      <c r="O62" s="395">
        <f t="shared" si="12"/>
        <v>0</v>
      </c>
      <c r="P62" s="397">
        <f t="shared" si="13"/>
        <v>0</v>
      </c>
      <c r="Q62" s="394">
        <f t="shared" si="14"/>
        <v>0</v>
      </c>
      <c r="R62" s="395">
        <f t="shared" si="15"/>
        <v>0</v>
      </c>
      <c r="S62" s="398">
        <f t="shared" si="16"/>
        <v>0</v>
      </c>
      <c r="T62" s="370">
        <f t="shared" si="17"/>
        <v>0</v>
      </c>
      <c r="U62" s="394">
        <f t="shared" si="18"/>
        <v>0</v>
      </c>
      <c r="V62" s="400">
        <f t="shared" si="19"/>
        <v>0</v>
      </c>
      <c r="W62" s="394">
        <f t="shared" si="20"/>
        <v>0</v>
      </c>
      <c r="X62" s="395">
        <f t="shared" si="21"/>
        <v>0</v>
      </c>
      <c r="Y62" s="102">
        <f t="shared" si="22"/>
        <v>0</v>
      </c>
      <c r="Z62" s="339">
        <f t="shared" si="23"/>
        <v>0</v>
      </c>
      <c r="AA62" s="102">
        <f t="shared" si="24"/>
        <v>0</v>
      </c>
      <c r="AB62" s="339">
        <f t="shared" si="25"/>
        <v>0</v>
      </c>
      <c r="AC62" s="102">
        <f t="shared" si="26"/>
        <v>0</v>
      </c>
      <c r="AD62" s="339">
        <f t="shared" si="27"/>
        <v>0</v>
      </c>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row>
    <row r="63" spans="1:64" ht="18" hidden="1" customHeight="1">
      <c r="A63" s="358"/>
      <c r="B63" s="359"/>
      <c r="C63" s="369"/>
      <c r="D63" s="384"/>
      <c r="E63" s="324">
        <f>IF(E8&gt;$E$2+15,"",DATEDIF(E8,$E$2+15,"y"))</f>
        <v>122</v>
      </c>
      <c r="F63" s="324">
        <f>IF(F8&gt;$E$2+15,"",DATEDIF(F8,$E$2+15,"y"))</f>
        <v>122</v>
      </c>
      <c r="G63" s="324">
        <f>IF(G8&gt;$E$2+15,"",DATEDIF(G8,$E$2+15,"y"))</f>
        <v>122</v>
      </c>
      <c r="H63" s="324">
        <f>IF(H8&gt;$E$2+15,"",DATEDIF(H8,$E$2+15,"y"))</f>
        <v>122</v>
      </c>
      <c r="I63" s="324">
        <f>IF(I8&gt;$E$2+15,"",DATEDIF(I8,$E$2+15,"y"))</f>
        <v>122</v>
      </c>
      <c r="J63" s="400">
        <f t="shared" si="7"/>
        <v>0</v>
      </c>
      <c r="K63" s="394">
        <f t="shared" si="8"/>
        <v>0</v>
      </c>
      <c r="L63" s="395">
        <f t="shared" si="9"/>
        <v>0</v>
      </c>
      <c r="M63" s="396">
        <f t="shared" si="10"/>
        <v>0</v>
      </c>
      <c r="N63" s="394">
        <f t="shared" si="11"/>
        <v>0</v>
      </c>
      <c r="O63" s="395">
        <f t="shared" si="12"/>
        <v>0</v>
      </c>
      <c r="P63" s="397">
        <f t="shared" si="13"/>
        <v>0</v>
      </c>
      <c r="Q63" s="394">
        <f t="shared" si="14"/>
        <v>0</v>
      </c>
      <c r="R63" s="395">
        <f t="shared" si="15"/>
        <v>0</v>
      </c>
      <c r="S63" s="398">
        <f t="shared" si="16"/>
        <v>0</v>
      </c>
      <c r="T63" s="370">
        <f t="shared" si="17"/>
        <v>0</v>
      </c>
      <c r="U63" s="394">
        <f t="shared" si="18"/>
        <v>0</v>
      </c>
      <c r="V63" s="400">
        <f t="shared" si="19"/>
        <v>0</v>
      </c>
      <c r="W63" s="394">
        <f t="shared" si="20"/>
        <v>0</v>
      </c>
      <c r="X63" s="395">
        <f t="shared" si="21"/>
        <v>0</v>
      </c>
      <c r="Y63" s="102">
        <f t="shared" si="22"/>
        <v>0</v>
      </c>
      <c r="Z63" s="339">
        <f t="shared" si="23"/>
        <v>0</v>
      </c>
      <c r="AA63" s="102">
        <f t="shared" si="24"/>
        <v>0</v>
      </c>
      <c r="AB63" s="339">
        <f t="shared" si="25"/>
        <v>0</v>
      </c>
      <c r="AC63" s="102">
        <f t="shared" si="26"/>
        <v>0</v>
      </c>
      <c r="AD63" s="339">
        <f t="shared" si="27"/>
        <v>0</v>
      </c>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row>
    <row r="64" spans="1:64" ht="18" hidden="1" customHeight="1">
      <c r="A64" s="358"/>
      <c r="B64" s="359"/>
      <c r="C64" s="369"/>
      <c r="D64" s="384"/>
      <c r="E64" s="324">
        <f>IF(E8&gt;$E$2+16,"",DATEDIF(E8,$E$2+16,"y"))</f>
        <v>122</v>
      </c>
      <c r="F64" s="324">
        <f>IF(F8&gt;$E$2+16,"",DATEDIF(F8,$E$2+16,"y"))</f>
        <v>122</v>
      </c>
      <c r="G64" s="324">
        <f>IF(G8&gt;$E$2+16,"",DATEDIF(G8,$E$2+16,"y"))</f>
        <v>122</v>
      </c>
      <c r="H64" s="324">
        <f>IF(H8&gt;$E$2+16,"",DATEDIF(H8,$E$2+16,"y"))</f>
        <v>122</v>
      </c>
      <c r="I64" s="324">
        <f>IF(I8&gt;$E$2+16,"",DATEDIF(I8,$E$2+16,"y"))</f>
        <v>122</v>
      </c>
      <c r="J64" s="400">
        <f t="shared" si="7"/>
        <v>0</v>
      </c>
      <c r="K64" s="394">
        <f t="shared" si="8"/>
        <v>0</v>
      </c>
      <c r="L64" s="395">
        <f t="shared" si="9"/>
        <v>0</v>
      </c>
      <c r="M64" s="396">
        <f t="shared" si="10"/>
        <v>0</v>
      </c>
      <c r="N64" s="394">
        <f t="shared" si="11"/>
        <v>0</v>
      </c>
      <c r="O64" s="395">
        <f t="shared" si="12"/>
        <v>0</v>
      </c>
      <c r="P64" s="397">
        <f t="shared" si="13"/>
        <v>0</v>
      </c>
      <c r="Q64" s="394">
        <f t="shared" si="14"/>
        <v>0</v>
      </c>
      <c r="R64" s="395">
        <f t="shared" si="15"/>
        <v>0</v>
      </c>
      <c r="S64" s="398">
        <f t="shared" si="16"/>
        <v>0</v>
      </c>
      <c r="T64" s="370">
        <f t="shared" si="17"/>
        <v>0</v>
      </c>
      <c r="U64" s="394">
        <f t="shared" si="18"/>
        <v>0</v>
      </c>
      <c r="V64" s="400">
        <f t="shared" si="19"/>
        <v>0</v>
      </c>
      <c r="W64" s="394">
        <f t="shared" si="20"/>
        <v>0</v>
      </c>
      <c r="X64" s="395">
        <f t="shared" si="21"/>
        <v>0</v>
      </c>
      <c r="Y64" s="102">
        <f t="shared" si="22"/>
        <v>0</v>
      </c>
      <c r="Z64" s="339">
        <f t="shared" si="23"/>
        <v>0</v>
      </c>
      <c r="AA64" s="102">
        <f t="shared" si="24"/>
        <v>0</v>
      </c>
      <c r="AB64" s="339">
        <f t="shared" si="25"/>
        <v>0</v>
      </c>
      <c r="AC64" s="102">
        <f t="shared" si="26"/>
        <v>0</v>
      </c>
      <c r="AD64" s="339">
        <f t="shared" si="27"/>
        <v>0</v>
      </c>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row>
    <row r="65" spans="1:64" ht="18" hidden="1" customHeight="1">
      <c r="A65" s="358"/>
      <c r="B65" s="359"/>
      <c r="C65" s="369"/>
      <c r="D65" s="384"/>
      <c r="E65" s="324">
        <f>IF(E8&gt;$E$2+17,"",DATEDIF(E8,$E$2+17,"y"))</f>
        <v>122</v>
      </c>
      <c r="F65" s="324">
        <f>IF(F8&gt;$E$2+17,"",DATEDIF(F8,$E$2+17,"y"))</f>
        <v>122</v>
      </c>
      <c r="G65" s="324">
        <f>IF(G8&gt;$E$2+17,"",DATEDIF(G8,$E$2+17,"y"))</f>
        <v>122</v>
      </c>
      <c r="H65" s="324">
        <f>IF(H8&gt;$E$2+17,"",DATEDIF(H8,$E$2+17,"y"))</f>
        <v>122</v>
      </c>
      <c r="I65" s="324">
        <f>IF(I8&gt;$E$2+17,"",DATEDIF(I8,$E$2+17,"y"))</f>
        <v>122</v>
      </c>
      <c r="J65" s="400">
        <f t="shared" si="7"/>
        <v>0</v>
      </c>
      <c r="K65" s="394">
        <f t="shared" si="8"/>
        <v>0</v>
      </c>
      <c r="L65" s="395">
        <f t="shared" si="9"/>
        <v>0</v>
      </c>
      <c r="M65" s="396">
        <f t="shared" si="10"/>
        <v>0</v>
      </c>
      <c r="N65" s="394">
        <f t="shared" si="11"/>
        <v>0</v>
      </c>
      <c r="O65" s="395">
        <f t="shared" si="12"/>
        <v>0</v>
      </c>
      <c r="P65" s="397">
        <f t="shared" si="13"/>
        <v>0</v>
      </c>
      <c r="Q65" s="394">
        <f t="shared" si="14"/>
        <v>0</v>
      </c>
      <c r="R65" s="395">
        <f t="shared" si="15"/>
        <v>0</v>
      </c>
      <c r="S65" s="398">
        <f t="shared" si="16"/>
        <v>0</v>
      </c>
      <c r="T65" s="370">
        <f t="shared" si="17"/>
        <v>0</v>
      </c>
      <c r="U65" s="394">
        <f t="shared" si="18"/>
        <v>0</v>
      </c>
      <c r="V65" s="400">
        <f t="shared" si="19"/>
        <v>0</v>
      </c>
      <c r="W65" s="394">
        <f t="shared" si="20"/>
        <v>0</v>
      </c>
      <c r="X65" s="395">
        <f t="shared" si="21"/>
        <v>0</v>
      </c>
      <c r="Y65" s="102">
        <f t="shared" si="22"/>
        <v>0</v>
      </c>
      <c r="Z65" s="339">
        <f t="shared" si="23"/>
        <v>0</v>
      </c>
      <c r="AA65" s="102">
        <f t="shared" si="24"/>
        <v>0</v>
      </c>
      <c r="AB65" s="339">
        <f t="shared" si="25"/>
        <v>0</v>
      </c>
      <c r="AC65" s="102">
        <f t="shared" si="26"/>
        <v>0</v>
      </c>
      <c r="AD65" s="339">
        <f t="shared" si="27"/>
        <v>0</v>
      </c>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row>
    <row r="66" spans="1:64" ht="18" hidden="1" customHeight="1">
      <c r="A66" s="358"/>
      <c r="B66" s="359"/>
      <c r="C66" s="369"/>
      <c r="D66" s="384"/>
      <c r="E66" s="324">
        <f>IF(E8&gt;$E$2+18,"",DATEDIF(E8,$E$2+18,"y"))</f>
        <v>122</v>
      </c>
      <c r="F66" s="324">
        <f>IF(F8&gt;$E$2+18,"",DATEDIF(F8,$E$2+18,"y"))</f>
        <v>122</v>
      </c>
      <c r="G66" s="324">
        <f>IF(G8&gt;$E$2+18,"",DATEDIF(G8,$E$2+18,"y"))</f>
        <v>122</v>
      </c>
      <c r="H66" s="324">
        <f>IF(H8&gt;$E$2+18,"",DATEDIF(H8,$E$2+18,"y"))</f>
        <v>122</v>
      </c>
      <c r="I66" s="324">
        <f>IF(I8&gt;$E$2+18,"",DATEDIF(I8,$E$2+18,"y"))</f>
        <v>122</v>
      </c>
      <c r="J66" s="400">
        <f t="shared" si="7"/>
        <v>0</v>
      </c>
      <c r="K66" s="394">
        <f t="shared" si="8"/>
        <v>0</v>
      </c>
      <c r="L66" s="395">
        <f t="shared" si="9"/>
        <v>0</v>
      </c>
      <c r="M66" s="396">
        <f t="shared" si="10"/>
        <v>0</v>
      </c>
      <c r="N66" s="394">
        <f t="shared" si="11"/>
        <v>0</v>
      </c>
      <c r="O66" s="395">
        <f t="shared" si="12"/>
        <v>0</v>
      </c>
      <c r="P66" s="397">
        <f t="shared" si="13"/>
        <v>0</v>
      </c>
      <c r="Q66" s="394">
        <f t="shared" si="14"/>
        <v>0</v>
      </c>
      <c r="R66" s="395">
        <f t="shared" si="15"/>
        <v>0</v>
      </c>
      <c r="S66" s="398">
        <f t="shared" si="16"/>
        <v>0</v>
      </c>
      <c r="T66" s="370">
        <f t="shared" si="17"/>
        <v>0</v>
      </c>
      <c r="U66" s="394">
        <f t="shared" si="18"/>
        <v>0</v>
      </c>
      <c r="V66" s="400">
        <f t="shared" si="19"/>
        <v>0</v>
      </c>
      <c r="W66" s="394">
        <f t="shared" si="20"/>
        <v>0</v>
      </c>
      <c r="X66" s="395">
        <f t="shared" si="21"/>
        <v>0</v>
      </c>
      <c r="Y66" s="102">
        <f t="shared" si="22"/>
        <v>0</v>
      </c>
      <c r="Z66" s="339">
        <f t="shared" si="23"/>
        <v>0</v>
      </c>
      <c r="AA66" s="102">
        <f t="shared" si="24"/>
        <v>0</v>
      </c>
      <c r="AB66" s="339">
        <f t="shared" si="25"/>
        <v>0</v>
      </c>
      <c r="AC66" s="102">
        <f t="shared" si="26"/>
        <v>0</v>
      </c>
      <c r="AD66" s="339">
        <f t="shared" si="27"/>
        <v>0</v>
      </c>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row>
    <row r="67" spans="1:64" ht="18" hidden="1" customHeight="1">
      <c r="A67" s="358"/>
      <c r="B67" s="359"/>
      <c r="C67" s="369"/>
      <c r="D67" s="384"/>
      <c r="E67" s="324">
        <f>IF(E8&gt;$E$2+19,"",DATEDIF(E8,$E$2+19,"y"))</f>
        <v>122</v>
      </c>
      <c r="F67" s="324">
        <f>IF(F8&gt;$E$2+19,"",DATEDIF(F8,$E$2+19,"y"))</f>
        <v>122</v>
      </c>
      <c r="G67" s="324">
        <f>IF(G8&gt;$E$2+19,"",DATEDIF(G8,$E$2+19,"y"))</f>
        <v>122</v>
      </c>
      <c r="H67" s="324">
        <f>IF(H8&gt;$E$2+19,"",DATEDIF(H8,$E$2+19,"y"))</f>
        <v>122</v>
      </c>
      <c r="I67" s="324">
        <f>IF(I8&gt;$E$2+19,"",DATEDIF(I8,$E$2+19,"y"))</f>
        <v>122</v>
      </c>
      <c r="J67" s="400">
        <f t="shared" si="7"/>
        <v>0</v>
      </c>
      <c r="K67" s="394">
        <f t="shared" si="8"/>
        <v>0</v>
      </c>
      <c r="L67" s="395">
        <f t="shared" si="9"/>
        <v>0</v>
      </c>
      <c r="M67" s="396">
        <f t="shared" si="10"/>
        <v>0</v>
      </c>
      <c r="N67" s="394">
        <f t="shared" si="11"/>
        <v>0</v>
      </c>
      <c r="O67" s="395">
        <f t="shared" si="12"/>
        <v>0</v>
      </c>
      <c r="P67" s="397">
        <f t="shared" si="13"/>
        <v>0</v>
      </c>
      <c r="Q67" s="394">
        <f t="shared" si="14"/>
        <v>0</v>
      </c>
      <c r="R67" s="395">
        <f t="shared" si="15"/>
        <v>0</v>
      </c>
      <c r="S67" s="398">
        <f t="shared" si="16"/>
        <v>0</v>
      </c>
      <c r="T67" s="370">
        <f t="shared" si="17"/>
        <v>0</v>
      </c>
      <c r="U67" s="394">
        <f t="shared" si="18"/>
        <v>0</v>
      </c>
      <c r="V67" s="400">
        <f t="shared" si="19"/>
        <v>0</v>
      </c>
      <c r="W67" s="394">
        <f t="shared" si="20"/>
        <v>0</v>
      </c>
      <c r="X67" s="395">
        <f t="shared" si="21"/>
        <v>0</v>
      </c>
      <c r="Y67" s="102">
        <f t="shared" si="22"/>
        <v>0</v>
      </c>
      <c r="Z67" s="339">
        <f t="shared" si="23"/>
        <v>0</v>
      </c>
      <c r="AA67" s="102">
        <f t="shared" si="24"/>
        <v>0</v>
      </c>
      <c r="AB67" s="339">
        <f t="shared" si="25"/>
        <v>0</v>
      </c>
      <c r="AC67" s="102">
        <f t="shared" si="26"/>
        <v>0</v>
      </c>
      <c r="AD67" s="339">
        <f t="shared" si="27"/>
        <v>0</v>
      </c>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row>
    <row r="68" spans="1:64" ht="18" hidden="1" customHeight="1">
      <c r="A68" s="358"/>
      <c r="B68" s="359"/>
      <c r="C68" s="369"/>
      <c r="D68" s="384"/>
      <c r="E68" s="324">
        <f>IF(E8&gt;$E$2+20,"",DATEDIF(E8,$E$2+20,"y"))</f>
        <v>122</v>
      </c>
      <c r="F68" s="324">
        <f>IF(F8&gt;$E$2+20,"",DATEDIF(F8,$E$2+20,"y"))</f>
        <v>122</v>
      </c>
      <c r="G68" s="324">
        <f>IF(G8&gt;$E$2+20,"",DATEDIF(G8,$E$2+20,"y"))</f>
        <v>122</v>
      </c>
      <c r="H68" s="324">
        <f>IF(H8&gt;$E$2+20,"",DATEDIF(H8,$E$2+20,"y"))</f>
        <v>122</v>
      </c>
      <c r="I68" s="324">
        <f>IF(I8&gt;$E$2+20,"",DATEDIF(I8,$E$2+20,"y"))</f>
        <v>122</v>
      </c>
      <c r="J68" s="400">
        <f t="shared" si="7"/>
        <v>0</v>
      </c>
      <c r="K68" s="394">
        <f t="shared" si="8"/>
        <v>0</v>
      </c>
      <c r="L68" s="395">
        <f t="shared" si="9"/>
        <v>0</v>
      </c>
      <c r="M68" s="396">
        <f t="shared" si="10"/>
        <v>0</v>
      </c>
      <c r="N68" s="394">
        <f t="shared" si="11"/>
        <v>0</v>
      </c>
      <c r="O68" s="395">
        <f t="shared" si="12"/>
        <v>0</v>
      </c>
      <c r="P68" s="397">
        <f t="shared" si="13"/>
        <v>0</v>
      </c>
      <c r="Q68" s="394">
        <f t="shared" si="14"/>
        <v>0</v>
      </c>
      <c r="R68" s="395">
        <f t="shared" si="15"/>
        <v>0</v>
      </c>
      <c r="S68" s="398">
        <f t="shared" si="16"/>
        <v>0</v>
      </c>
      <c r="T68" s="370">
        <f t="shared" si="17"/>
        <v>0</v>
      </c>
      <c r="U68" s="394">
        <f t="shared" si="18"/>
        <v>0</v>
      </c>
      <c r="V68" s="400">
        <f t="shared" si="19"/>
        <v>0</v>
      </c>
      <c r="W68" s="394">
        <f t="shared" si="20"/>
        <v>0</v>
      </c>
      <c r="X68" s="395">
        <f t="shared" si="21"/>
        <v>0</v>
      </c>
      <c r="Y68" s="102">
        <f t="shared" si="22"/>
        <v>0</v>
      </c>
      <c r="Z68" s="339">
        <f t="shared" si="23"/>
        <v>0</v>
      </c>
      <c r="AA68" s="102">
        <f t="shared" si="24"/>
        <v>0</v>
      </c>
      <c r="AB68" s="339">
        <f t="shared" si="25"/>
        <v>0</v>
      </c>
      <c r="AC68" s="102">
        <f t="shared" si="26"/>
        <v>0</v>
      </c>
      <c r="AD68" s="339">
        <f t="shared" si="27"/>
        <v>0</v>
      </c>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row>
    <row r="69" spans="1:64" ht="18" hidden="1" customHeight="1">
      <c r="A69" s="358"/>
      <c r="B69" s="359"/>
      <c r="C69" s="369"/>
      <c r="D69" s="384"/>
      <c r="E69" s="324">
        <f>IF(E8&gt;$E$2+21,"",DATEDIF(E8,$E$2+21,"y"))</f>
        <v>122</v>
      </c>
      <c r="F69" s="324">
        <f>IF(F8&gt;$E$2+21,"",DATEDIF(F8,$E$2+21,"y"))</f>
        <v>122</v>
      </c>
      <c r="G69" s="324">
        <f>IF(G8&gt;$E$2+21,"",DATEDIF(G8,$E$2+21,"y"))</f>
        <v>122</v>
      </c>
      <c r="H69" s="324">
        <f>IF(H8&gt;$E$2+21,"",DATEDIF(H8,$E$2+21,"y"))</f>
        <v>122</v>
      </c>
      <c r="I69" s="324">
        <f>IF(I8&gt;$E$2+21,"",DATEDIF(I8,$E$2+21,"y"))</f>
        <v>122</v>
      </c>
      <c r="J69" s="400">
        <f t="shared" si="7"/>
        <v>0</v>
      </c>
      <c r="K69" s="394">
        <f t="shared" si="8"/>
        <v>0</v>
      </c>
      <c r="L69" s="395">
        <f t="shared" si="9"/>
        <v>0</v>
      </c>
      <c r="M69" s="396">
        <f t="shared" si="10"/>
        <v>0</v>
      </c>
      <c r="N69" s="394">
        <f t="shared" si="11"/>
        <v>0</v>
      </c>
      <c r="O69" s="395">
        <f t="shared" si="12"/>
        <v>0</v>
      </c>
      <c r="P69" s="397">
        <f t="shared" si="13"/>
        <v>0</v>
      </c>
      <c r="Q69" s="394">
        <f t="shared" si="14"/>
        <v>0</v>
      </c>
      <c r="R69" s="395">
        <f t="shared" si="15"/>
        <v>0</v>
      </c>
      <c r="S69" s="398">
        <f t="shared" si="16"/>
        <v>0</v>
      </c>
      <c r="T69" s="370">
        <f t="shared" si="17"/>
        <v>0</v>
      </c>
      <c r="U69" s="394">
        <f t="shared" si="18"/>
        <v>0</v>
      </c>
      <c r="V69" s="400">
        <f t="shared" si="19"/>
        <v>0</v>
      </c>
      <c r="W69" s="394">
        <f t="shared" si="20"/>
        <v>0</v>
      </c>
      <c r="X69" s="395">
        <f t="shared" si="21"/>
        <v>0</v>
      </c>
      <c r="Y69" s="102">
        <f t="shared" si="22"/>
        <v>0</v>
      </c>
      <c r="Z69" s="339">
        <f t="shared" si="23"/>
        <v>0</v>
      </c>
      <c r="AA69" s="102">
        <f t="shared" si="24"/>
        <v>0</v>
      </c>
      <c r="AB69" s="339">
        <f t="shared" si="25"/>
        <v>0</v>
      </c>
      <c r="AC69" s="102">
        <f t="shared" si="26"/>
        <v>0</v>
      </c>
      <c r="AD69" s="339">
        <f t="shared" si="27"/>
        <v>0</v>
      </c>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row>
    <row r="70" spans="1:64" ht="18" hidden="1" customHeight="1">
      <c r="A70" s="358"/>
      <c r="B70" s="359"/>
      <c r="C70" s="369"/>
      <c r="D70" s="384"/>
      <c r="E70" s="324">
        <f>IF(E8&gt;$E$2+22,"",DATEDIF(E8,$E$2+22,"y"))</f>
        <v>122</v>
      </c>
      <c r="F70" s="324">
        <f>IF(F8&gt;$E$2+22,"",DATEDIF(F8,$E$2+22,"y"))</f>
        <v>122</v>
      </c>
      <c r="G70" s="324">
        <f>IF(G8&gt;$E$2+22,"",DATEDIF(G8,$E$2+22,"y"))</f>
        <v>122</v>
      </c>
      <c r="H70" s="324">
        <f>IF(H8&gt;$E$2+22,"",DATEDIF(H8,$E$2+22,"y"))</f>
        <v>122</v>
      </c>
      <c r="I70" s="324">
        <f>IF(I8&gt;$E$2+22,"",DATEDIF(I8,$E$2+22,"y"))</f>
        <v>122</v>
      </c>
      <c r="J70" s="400">
        <f t="shared" si="7"/>
        <v>0</v>
      </c>
      <c r="K70" s="394">
        <f t="shared" si="8"/>
        <v>0</v>
      </c>
      <c r="L70" s="395">
        <f t="shared" si="9"/>
        <v>0</v>
      </c>
      <c r="M70" s="396">
        <f t="shared" si="10"/>
        <v>0</v>
      </c>
      <c r="N70" s="394">
        <f t="shared" si="11"/>
        <v>0</v>
      </c>
      <c r="O70" s="395">
        <f t="shared" si="12"/>
        <v>0</v>
      </c>
      <c r="P70" s="397">
        <f t="shared" si="13"/>
        <v>0</v>
      </c>
      <c r="Q70" s="394">
        <f t="shared" si="14"/>
        <v>0</v>
      </c>
      <c r="R70" s="395">
        <f t="shared" si="15"/>
        <v>0</v>
      </c>
      <c r="S70" s="398">
        <f t="shared" si="16"/>
        <v>0</v>
      </c>
      <c r="T70" s="370">
        <f t="shared" si="17"/>
        <v>0</v>
      </c>
      <c r="U70" s="394">
        <f t="shared" si="18"/>
        <v>0</v>
      </c>
      <c r="V70" s="400">
        <f t="shared" si="19"/>
        <v>0</v>
      </c>
      <c r="W70" s="394">
        <f t="shared" si="20"/>
        <v>0</v>
      </c>
      <c r="X70" s="395">
        <f t="shared" si="21"/>
        <v>0</v>
      </c>
      <c r="Y70" s="102">
        <f t="shared" si="22"/>
        <v>0</v>
      </c>
      <c r="Z70" s="339">
        <f t="shared" si="23"/>
        <v>0</v>
      </c>
      <c r="AA70" s="102">
        <f t="shared" si="24"/>
        <v>0</v>
      </c>
      <c r="AB70" s="339">
        <f t="shared" si="25"/>
        <v>0</v>
      </c>
      <c r="AC70" s="102">
        <f t="shared" si="26"/>
        <v>0</v>
      </c>
      <c r="AD70" s="339">
        <f t="shared" si="27"/>
        <v>0</v>
      </c>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row>
    <row r="71" spans="1:64" ht="18" hidden="1" customHeight="1">
      <c r="A71" s="358"/>
      <c r="B71" s="359"/>
      <c r="C71" s="369"/>
      <c r="D71" s="384"/>
      <c r="E71" s="324">
        <f>IF(E8&gt;$E$2+23,"",DATEDIF(E8,$E$2+23,"y"))</f>
        <v>122</v>
      </c>
      <c r="F71" s="324">
        <f>IF(F8&gt;$E$2+23,"",DATEDIF(F8,$E$2+23,"y"))</f>
        <v>122</v>
      </c>
      <c r="G71" s="324">
        <f>IF(G8&gt;$E$2+23,"",DATEDIF(G8,$E$2+23,"y"))</f>
        <v>122</v>
      </c>
      <c r="H71" s="324">
        <f>IF(H8&gt;$E$2+23,"",DATEDIF(H8,$E$2+23,"y"))</f>
        <v>122</v>
      </c>
      <c r="I71" s="324">
        <f>IF(I8&gt;$E$2+23,"",DATEDIF(I8,$E$2+23,"y"))</f>
        <v>122</v>
      </c>
      <c r="J71" s="400">
        <f t="shared" si="7"/>
        <v>0</v>
      </c>
      <c r="K71" s="394">
        <f t="shared" si="8"/>
        <v>0</v>
      </c>
      <c r="L71" s="395">
        <f t="shared" si="9"/>
        <v>0</v>
      </c>
      <c r="M71" s="396">
        <f t="shared" si="10"/>
        <v>0</v>
      </c>
      <c r="N71" s="394">
        <f t="shared" si="11"/>
        <v>0</v>
      </c>
      <c r="O71" s="395">
        <f t="shared" si="12"/>
        <v>0</v>
      </c>
      <c r="P71" s="397">
        <f t="shared" si="13"/>
        <v>0</v>
      </c>
      <c r="Q71" s="394">
        <f t="shared" si="14"/>
        <v>0</v>
      </c>
      <c r="R71" s="395">
        <f t="shared" si="15"/>
        <v>0</v>
      </c>
      <c r="S71" s="398">
        <f t="shared" si="16"/>
        <v>0</v>
      </c>
      <c r="T71" s="370">
        <f t="shared" si="17"/>
        <v>0</v>
      </c>
      <c r="U71" s="394">
        <f t="shared" si="18"/>
        <v>0</v>
      </c>
      <c r="V71" s="400">
        <f t="shared" si="19"/>
        <v>0</v>
      </c>
      <c r="W71" s="394">
        <f t="shared" si="20"/>
        <v>0</v>
      </c>
      <c r="X71" s="395">
        <f t="shared" si="21"/>
        <v>0</v>
      </c>
      <c r="Y71" s="102">
        <f t="shared" si="22"/>
        <v>0</v>
      </c>
      <c r="Z71" s="339">
        <f t="shared" si="23"/>
        <v>0</v>
      </c>
      <c r="AA71" s="102">
        <f t="shared" si="24"/>
        <v>0</v>
      </c>
      <c r="AB71" s="339">
        <f t="shared" si="25"/>
        <v>0</v>
      </c>
      <c r="AC71" s="102">
        <f t="shared" si="26"/>
        <v>0</v>
      </c>
      <c r="AD71" s="339">
        <f t="shared" si="27"/>
        <v>0</v>
      </c>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row>
    <row r="72" spans="1:64" ht="18" hidden="1" customHeight="1">
      <c r="A72" s="358"/>
      <c r="B72" s="359"/>
      <c r="C72" s="369"/>
      <c r="D72" s="384"/>
      <c r="E72" s="324">
        <f>IF(E8&gt;$E$2+24,"",DATEDIF(E8,$E$2+24,"y"))</f>
        <v>122</v>
      </c>
      <c r="F72" s="324">
        <f>IF(F8&gt;$E$2+24,"",DATEDIF(F8,$E$2+24,"y"))</f>
        <v>122</v>
      </c>
      <c r="G72" s="324">
        <f>IF(G8&gt;$E$2+24,"",DATEDIF(G8,$E$2+24,"y"))</f>
        <v>122</v>
      </c>
      <c r="H72" s="324">
        <f>IF(H8&gt;$E$2+24,"",DATEDIF(H8,$E$2+24,"y"))</f>
        <v>122</v>
      </c>
      <c r="I72" s="324">
        <f>IF(I8&gt;$E$2+24,"",DATEDIF(I8,$E$2+24,"y"))</f>
        <v>122</v>
      </c>
      <c r="J72" s="400">
        <f t="shared" si="7"/>
        <v>0</v>
      </c>
      <c r="K72" s="394">
        <f t="shared" si="8"/>
        <v>0</v>
      </c>
      <c r="L72" s="395">
        <f t="shared" si="9"/>
        <v>0</v>
      </c>
      <c r="M72" s="396">
        <f t="shared" si="10"/>
        <v>0</v>
      </c>
      <c r="N72" s="394">
        <f t="shared" si="11"/>
        <v>0</v>
      </c>
      <c r="O72" s="395">
        <f t="shared" si="12"/>
        <v>0</v>
      </c>
      <c r="P72" s="397">
        <f t="shared" si="13"/>
        <v>0</v>
      </c>
      <c r="Q72" s="394">
        <f t="shared" si="14"/>
        <v>0</v>
      </c>
      <c r="R72" s="395">
        <f t="shared" si="15"/>
        <v>0</v>
      </c>
      <c r="S72" s="398">
        <f t="shared" si="16"/>
        <v>0</v>
      </c>
      <c r="T72" s="370">
        <f t="shared" si="17"/>
        <v>0</v>
      </c>
      <c r="U72" s="394">
        <f t="shared" si="18"/>
        <v>0</v>
      </c>
      <c r="V72" s="400">
        <f t="shared" si="19"/>
        <v>0</v>
      </c>
      <c r="W72" s="394">
        <f t="shared" si="20"/>
        <v>0</v>
      </c>
      <c r="X72" s="395">
        <f t="shared" si="21"/>
        <v>0</v>
      </c>
      <c r="Y72" s="102">
        <f t="shared" si="22"/>
        <v>0</v>
      </c>
      <c r="Z72" s="339">
        <f t="shared" si="23"/>
        <v>0</v>
      </c>
      <c r="AA72" s="102">
        <f t="shared" si="24"/>
        <v>0</v>
      </c>
      <c r="AB72" s="339">
        <f t="shared" si="25"/>
        <v>0</v>
      </c>
      <c r="AC72" s="102">
        <f t="shared" si="26"/>
        <v>0</v>
      </c>
      <c r="AD72" s="339">
        <f t="shared" si="27"/>
        <v>0</v>
      </c>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row>
    <row r="73" spans="1:64" ht="18" hidden="1" customHeight="1">
      <c r="A73" s="358"/>
      <c r="B73" s="359"/>
      <c r="C73" s="369"/>
      <c r="D73" s="384"/>
      <c r="E73" s="324">
        <f>IF(E8&gt;$E$2+25,"",DATEDIF(E8,$E$2+25,"y"))</f>
        <v>122</v>
      </c>
      <c r="F73" s="324">
        <f>IF(F8&gt;$E$2+25,"",DATEDIF(F8,$E$2+25,"y"))</f>
        <v>122</v>
      </c>
      <c r="G73" s="324">
        <f>IF(G8&gt;$E$2+25,"",DATEDIF(G8,$E$2+25,"y"))</f>
        <v>122</v>
      </c>
      <c r="H73" s="324">
        <f>IF(H8&gt;$E$2+25,"",DATEDIF(H8,$E$2+25,"y"))</f>
        <v>122</v>
      </c>
      <c r="I73" s="324">
        <f>IF(I8&gt;$E$2+25,"",DATEDIF(I8,$E$2+25,"y"))</f>
        <v>122</v>
      </c>
      <c r="J73" s="400">
        <f t="shared" si="7"/>
        <v>0</v>
      </c>
      <c r="K73" s="394">
        <f t="shared" si="8"/>
        <v>0</v>
      </c>
      <c r="L73" s="395">
        <f t="shared" si="9"/>
        <v>0</v>
      </c>
      <c r="M73" s="396">
        <f t="shared" si="10"/>
        <v>0</v>
      </c>
      <c r="N73" s="394">
        <f t="shared" si="11"/>
        <v>0</v>
      </c>
      <c r="O73" s="395">
        <f t="shared" si="12"/>
        <v>0</v>
      </c>
      <c r="P73" s="397">
        <f t="shared" si="13"/>
        <v>0</v>
      </c>
      <c r="Q73" s="394">
        <f t="shared" si="14"/>
        <v>0</v>
      </c>
      <c r="R73" s="395">
        <f t="shared" si="15"/>
        <v>0</v>
      </c>
      <c r="S73" s="398">
        <f t="shared" si="16"/>
        <v>0</v>
      </c>
      <c r="T73" s="370">
        <f t="shared" si="17"/>
        <v>0</v>
      </c>
      <c r="U73" s="394">
        <f t="shared" si="18"/>
        <v>0</v>
      </c>
      <c r="V73" s="400">
        <f t="shared" si="19"/>
        <v>0</v>
      </c>
      <c r="W73" s="394">
        <f t="shared" si="20"/>
        <v>0</v>
      </c>
      <c r="X73" s="395">
        <f t="shared" si="21"/>
        <v>0</v>
      </c>
      <c r="Y73" s="102">
        <f t="shared" si="22"/>
        <v>0</v>
      </c>
      <c r="Z73" s="339">
        <f t="shared" si="23"/>
        <v>0</v>
      </c>
      <c r="AA73" s="102">
        <f t="shared" si="24"/>
        <v>0</v>
      </c>
      <c r="AB73" s="339">
        <f t="shared" si="25"/>
        <v>0</v>
      </c>
      <c r="AC73" s="102">
        <f t="shared" si="26"/>
        <v>0</v>
      </c>
      <c r="AD73" s="339">
        <f t="shared" si="27"/>
        <v>0</v>
      </c>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row>
    <row r="74" spans="1:64" ht="18" hidden="1" customHeight="1">
      <c r="A74" s="358"/>
      <c r="B74" s="359"/>
      <c r="C74" s="369"/>
      <c r="D74" s="384"/>
      <c r="E74" s="324">
        <f>IF(E8&gt;$E$2+26,"",DATEDIF(E8,$E$2+26,"y"))</f>
        <v>122</v>
      </c>
      <c r="F74" s="324">
        <f>IF(F8&gt;$E$2+26,"",DATEDIF(F8,$E$2+26,"y"))</f>
        <v>122</v>
      </c>
      <c r="G74" s="324">
        <f>IF(G8&gt;$E$2+26,"",DATEDIF(G8,$E$2+26,"y"))</f>
        <v>122</v>
      </c>
      <c r="H74" s="324">
        <f>IF(H8&gt;$E$2+26,"",DATEDIF(H8,$E$2+26,"y"))</f>
        <v>122</v>
      </c>
      <c r="I74" s="324">
        <f>IF(I8&gt;$E$2+26,"",DATEDIF(I8,$E$2+26,"y"))</f>
        <v>122</v>
      </c>
      <c r="J74" s="400">
        <f t="shared" si="7"/>
        <v>0</v>
      </c>
      <c r="K74" s="394">
        <f t="shared" si="8"/>
        <v>0</v>
      </c>
      <c r="L74" s="395">
        <f t="shared" si="9"/>
        <v>0</v>
      </c>
      <c r="M74" s="396">
        <f t="shared" si="10"/>
        <v>0</v>
      </c>
      <c r="N74" s="394">
        <f t="shared" si="11"/>
        <v>0</v>
      </c>
      <c r="O74" s="395">
        <f t="shared" si="12"/>
        <v>0</v>
      </c>
      <c r="P74" s="397">
        <f t="shared" si="13"/>
        <v>0</v>
      </c>
      <c r="Q74" s="394">
        <f t="shared" si="14"/>
        <v>0</v>
      </c>
      <c r="R74" s="395">
        <f t="shared" si="15"/>
        <v>0</v>
      </c>
      <c r="S74" s="398">
        <f t="shared" si="16"/>
        <v>0</v>
      </c>
      <c r="T74" s="370">
        <f t="shared" si="17"/>
        <v>0</v>
      </c>
      <c r="U74" s="394">
        <f t="shared" si="18"/>
        <v>0</v>
      </c>
      <c r="V74" s="400">
        <f t="shared" si="19"/>
        <v>0</v>
      </c>
      <c r="W74" s="394">
        <f t="shared" si="20"/>
        <v>0</v>
      </c>
      <c r="X74" s="395">
        <f t="shared" si="21"/>
        <v>0</v>
      </c>
      <c r="Y74" s="102">
        <f t="shared" si="22"/>
        <v>0</v>
      </c>
      <c r="Z74" s="339">
        <f t="shared" si="23"/>
        <v>0</v>
      </c>
      <c r="AA74" s="102">
        <f t="shared" si="24"/>
        <v>0</v>
      </c>
      <c r="AB74" s="339">
        <f t="shared" si="25"/>
        <v>0</v>
      </c>
      <c r="AC74" s="102">
        <f t="shared" si="26"/>
        <v>0</v>
      </c>
      <c r="AD74" s="339">
        <f t="shared" si="27"/>
        <v>0</v>
      </c>
      <c r="AF74" s="287"/>
      <c r="AG74" s="287"/>
      <c r="AH74" s="287"/>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row>
    <row r="75" spans="1:64" ht="18" hidden="1" customHeight="1">
      <c r="A75" s="358"/>
      <c r="B75" s="359"/>
      <c r="C75" s="369"/>
      <c r="D75" s="384"/>
      <c r="E75" s="324">
        <f>IF(E8&gt;$E$2+27,"",DATEDIF(E8,$E$2+27,"y"))</f>
        <v>122</v>
      </c>
      <c r="F75" s="324">
        <f>IF(F8&gt;$E$2+27,"",DATEDIF(F8,$E$2+27,"y"))</f>
        <v>122</v>
      </c>
      <c r="G75" s="324">
        <f>IF(G8&gt;$E$2+27,"",DATEDIF(G8,$E$2+27,"y"))</f>
        <v>122</v>
      </c>
      <c r="H75" s="324">
        <f>IF(H8&gt;$E$2+27,"",DATEDIF(H8,$E$2+27,"y"))</f>
        <v>122</v>
      </c>
      <c r="I75" s="324">
        <f>IF(I8&gt;$E$2+27,"",DATEDIF(I8,$E$2+27,"y"))</f>
        <v>122</v>
      </c>
      <c r="J75" s="400">
        <f t="shared" si="7"/>
        <v>0</v>
      </c>
      <c r="K75" s="394">
        <f t="shared" si="8"/>
        <v>0</v>
      </c>
      <c r="L75" s="395">
        <f t="shared" si="9"/>
        <v>0</v>
      </c>
      <c r="M75" s="396">
        <f t="shared" si="10"/>
        <v>0</v>
      </c>
      <c r="N75" s="394">
        <f t="shared" si="11"/>
        <v>0</v>
      </c>
      <c r="O75" s="395">
        <f t="shared" si="12"/>
        <v>0</v>
      </c>
      <c r="P75" s="397">
        <f t="shared" si="13"/>
        <v>0</v>
      </c>
      <c r="Q75" s="394">
        <f t="shared" si="14"/>
        <v>0</v>
      </c>
      <c r="R75" s="395">
        <f t="shared" si="15"/>
        <v>0</v>
      </c>
      <c r="S75" s="398">
        <f t="shared" si="16"/>
        <v>0</v>
      </c>
      <c r="T75" s="370">
        <f t="shared" si="17"/>
        <v>0</v>
      </c>
      <c r="U75" s="394">
        <f t="shared" si="18"/>
        <v>0</v>
      </c>
      <c r="V75" s="400">
        <f t="shared" si="19"/>
        <v>0</v>
      </c>
      <c r="W75" s="394">
        <f t="shared" si="20"/>
        <v>0</v>
      </c>
      <c r="X75" s="395">
        <f t="shared" si="21"/>
        <v>0</v>
      </c>
      <c r="Y75" s="102">
        <f t="shared" si="22"/>
        <v>0</v>
      </c>
      <c r="Z75" s="339">
        <f t="shared" si="23"/>
        <v>0</v>
      </c>
      <c r="AA75" s="102">
        <f t="shared" si="24"/>
        <v>0</v>
      </c>
      <c r="AB75" s="339">
        <f t="shared" si="25"/>
        <v>0</v>
      </c>
      <c r="AC75" s="102">
        <f t="shared" si="26"/>
        <v>0</v>
      </c>
      <c r="AD75" s="339">
        <f t="shared" si="27"/>
        <v>0</v>
      </c>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row>
    <row r="76" spans="1:64" ht="18" hidden="1" customHeight="1">
      <c r="A76" s="358"/>
      <c r="B76" s="359"/>
      <c r="C76" s="369"/>
      <c r="D76" s="384"/>
      <c r="E76" s="324">
        <f>IF(E8&gt;$E$2+28,"",DATEDIF(E8,$E$2+28,"y"))</f>
        <v>122</v>
      </c>
      <c r="F76" s="324">
        <f>IF(F8&gt;$E$2+28,"",DATEDIF(F8,$E$2+28,"y"))</f>
        <v>122</v>
      </c>
      <c r="G76" s="324">
        <f>IF(G8&gt;$E$2+28,"",DATEDIF(G8,$E$2+28,"y"))</f>
        <v>122</v>
      </c>
      <c r="H76" s="324">
        <f>IF(H8&gt;$E$2+28,"",DATEDIF(H8,$E$2+28,"y"))</f>
        <v>122</v>
      </c>
      <c r="I76" s="324">
        <f>IF(I8&gt;$E$2+28,"",DATEDIF(I8,$E$2+28,"y"))</f>
        <v>122</v>
      </c>
      <c r="J76" s="400">
        <f>IF(AND(I2="Februar",G2&lt;29),"",COUNTIF(E76:I76,"&lt;7"))</f>
        <v>0</v>
      </c>
      <c r="K76" s="394">
        <f t="shared" si="8"/>
        <v>0</v>
      </c>
      <c r="L76" s="395">
        <f t="shared" si="9"/>
        <v>0</v>
      </c>
      <c r="M76" s="396">
        <f>IF(AND(I2="Februar",G2&lt;29),"",SUMPRODUCT((E76:I76&gt;6)*(E76:I76&lt;18)))</f>
        <v>0</v>
      </c>
      <c r="N76" s="394">
        <f t="shared" si="11"/>
        <v>0</v>
      </c>
      <c r="O76" s="395">
        <f t="shared" si="12"/>
        <v>0</v>
      </c>
      <c r="P76" s="397">
        <f>IF(AND(I2="Februar",G2&lt;29),"",COUNTIF(E76:I76,"&lt;16"))</f>
        <v>0</v>
      </c>
      <c r="Q76" s="394">
        <f t="shared" si="14"/>
        <v>0</v>
      </c>
      <c r="R76" s="395">
        <f t="shared" si="15"/>
        <v>0</v>
      </c>
      <c r="S76" s="398">
        <f>IF(AND(I2="Februar",G2&lt;29),"",SUMPRODUCT((E76:I76&gt;15)*(E76:I76&lt;18)))</f>
        <v>0</v>
      </c>
      <c r="T76" s="370">
        <f t="shared" si="17"/>
        <v>0</v>
      </c>
      <c r="U76" s="394">
        <f t="shared" si="18"/>
        <v>0</v>
      </c>
      <c r="V76" s="400">
        <f>IF(AND(I2="Februar",G2&lt;29),"",SUMPRODUCT((E76:I76&gt;6)*(E76:I76&lt;16))+SUMPRODUCT((E76:I76&gt;15)*(E76:I76&lt;18)))</f>
        <v>0</v>
      </c>
      <c r="W76" s="394">
        <f t="shared" si="20"/>
        <v>0</v>
      </c>
      <c r="X76" s="395">
        <f t="shared" si="21"/>
        <v>0</v>
      </c>
      <c r="Y76" s="102">
        <f>IF(AND(I2="Februar",G2&lt;29),"",COUNTIF(E76:I76,"&lt;18"))</f>
        <v>0</v>
      </c>
      <c r="Z76" s="339">
        <f t="shared" si="23"/>
        <v>0</v>
      </c>
      <c r="AA76" s="102">
        <f>IF(AND(I2="Februar",G2&lt;29),"",COUNTIF(E76:I76,"&lt;18"))</f>
        <v>0</v>
      </c>
      <c r="AB76" s="339">
        <f t="shared" si="25"/>
        <v>0</v>
      </c>
      <c r="AC76" s="102">
        <f>IF(AND(I2="Februar",G2&lt;29),"",COUNTIF(E76:I76,"&lt;18"))</f>
        <v>0</v>
      </c>
      <c r="AD76" s="339">
        <f t="shared" si="27"/>
        <v>0</v>
      </c>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row>
    <row r="77" spans="1:64" ht="18" hidden="1" customHeight="1">
      <c r="A77" s="358"/>
      <c r="B77" s="359"/>
      <c r="C77" s="369"/>
      <c r="D77" s="384"/>
      <c r="E77" s="324">
        <f>IF(E8&gt;$E$2+29,"",DATEDIF(E8,$E$2+29,"y"))</f>
        <v>122</v>
      </c>
      <c r="F77" s="324">
        <f>IF(F8&gt;$E$2+29,"",DATEDIF(F8,$E$2+29,"y"))</f>
        <v>122</v>
      </c>
      <c r="G77" s="324">
        <f>IF(G8&gt;$E$2+29,"",DATEDIF(G8,$E$2+29,"y"))</f>
        <v>122</v>
      </c>
      <c r="H77" s="324">
        <f>IF(H8&gt;$E$2+29,"",DATEDIF(H8,$E$2+29,"y"))</f>
        <v>122</v>
      </c>
      <c r="I77" s="324">
        <f>IF(I8&gt;$E$2+29,"",DATEDIF(I8,$E$2+29,"y"))</f>
        <v>122</v>
      </c>
      <c r="J77" s="400">
        <f>IF(I2="Februar","",COUNTIF(E77:I77,"&lt;7"))</f>
        <v>0</v>
      </c>
      <c r="K77" s="394">
        <f t="shared" si="8"/>
        <v>0</v>
      </c>
      <c r="L77" s="395">
        <f t="shared" si="9"/>
        <v>0</v>
      </c>
      <c r="M77" s="396">
        <f>IF(I2="Februar","",SUMPRODUCT((E77:I77&gt;6)*(E77:I77&lt;18)))</f>
        <v>0</v>
      </c>
      <c r="N77" s="394">
        <f t="shared" si="11"/>
        <v>0</v>
      </c>
      <c r="O77" s="395">
        <f t="shared" si="12"/>
        <v>0</v>
      </c>
      <c r="P77" s="397">
        <f>IF(I2="Februar","",COUNTIF(E77:I77,"&lt;16"))</f>
        <v>0</v>
      </c>
      <c r="Q77" s="394">
        <f t="shared" si="14"/>
        <v>0</v>
      </c>
      <c r="R77" s="395">
        <f t="shared" si="15"/>
        <v>0</v>
      </c>
      <c r="S77" s="398">
        <f>IF(I2="Februar","",SUMPRODUCT((E77:I77&gt;15)*(E77:I77&lt;18)))</f>
        <v>0</v>
      </c>
      <c r="T77" s="370">
        <f t="shared" si="17"/>
        <v>0</v>
      </c>
      <c r="U77" s="394">
        <f t="shared" si="18"/>
        <v>0</v>
      </c>
      <c r="V77" s="400">
        <f>IF(I2="Februar","",SUMPRODUCT((E77:I77&gt;6)*(E77:I77&lt;16))+SUMPRODUCT((E77:I77&gt;15)*(E77:I77&lt;18)))</f>
        <v>0</v>
      </c>
      <c r="W77" s="394">
        <f t="shared" si="20"/>
        <v>0</v>
      </c>
      <c r="X77" s="395">
        <f t="shared" si="21"/>
        <v>0</v>
      </c>
      <c r="Y77" s="102">
        <f>IF(I2="Februar","",COUNTIF(E77:I77,"&lt;18"))</f>
        <v>0</v>
      </c>
      <c r="Z77" s="339">
        <f t="shared" si="23"/>
        <v>0</v>
      </c>
      <c r="AA77" s="102">
        <f>IF(I2="Februar","",COUNTIF(E77:I77,"&lt;18"))</f>
        <v>0</v>
      </c>
      <c r="AB77" s="339">
        <f t="shared" si="25"/>
        <v>0</v>
      </c>
      <c r="AC77" s="102">
        <f>IF(I2="Februar","",COUNTIF(E77:I77,"&lt;18"))</f>
        <v>0</v>
      </c>
      <c r="AD77" s="339">
        <f t="shared" si="27"/>
        <v>0</v>
      </c>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row>
    <row r="78" spans="1:64" ht="18" hidden="1" customHeight="1">
      <c r="A78" s="358"/>
      <c r="B78" s="359"/>
      <c r="C78" s="369"/>
      <c r="D78" s="384"/>
      <c r="E78" s="324">
        <f>IF(E8&gt;$E$2+30,"",DATEDIF(E8,$E$2+30,"y"))</f>
        <v>122</v>
      </c>
      <c r="F78" s="324">
        <f>IF(F8&gt;$E$2+30,"",DATEDIF(F8,$E$2+30,"y"))</f>
        <v>122</v>
      </c>
      <c r="G78" s="324">
        <f>IF(G8&gt;$E$2+30,"",DATEDIF(G8,$E$2+30,"y"))</f>
        <v>122</v>
      </c>
      <c r="H78" s="324">
        <f>IF(H8&gt;$E$2+30,"",DATEDIF(H8,$E$2+30,"y"))</f>
        <v>122</v>
      </c>
      <c r="I78" s="324">
        <f>IF(I8&gt;$E$2+30,"",DATEDIF(I8,$E$2+30,"y"))</f>
        <v>122</v>
      </c>
      <c r="J78" s="400">
        <f>IF(G2&lt;31,"",COUNTIF(E78:I78,"&lt;7"))</f>
        <v>0</v>
      </c>
      <c r="K78" s="394">
        <f t="shared" si="8"/>
        <v>0</v>
      </c>
      <c r="L78" s="395">
        <f t="shared" si="9"/>
        <v>0</v>
      </c>
      <c r="M78" s="403">
        <f>IF(G2&lt;31,"",SUMPRODUCT((E78:I78&gt;6)*(E78:I78&lt;18)))</f>
        <v>0</v>
      </c>
      <c r="N78" s="404">
        <f t="shared" si="11"/>
        <v>0</v>
      </c>
      <c r="O78" s="395">
        <f t="shared" si="12"/>
        <v>0</v>
      </c>
      <c r="P78" s="397">
        <f>IF(G2&lt;31,"",COUNTIF(E78:I78,"&lt;16"))</f>
        <v>0</v>
      </c>
      <c r="Q78" s="394">
        <f t="shared" si="14"/>
        <v>0</v>
      </c>
      <c r="R78" s="395">
        <f t="shared" si="15"/>
        <v>0</v>
      </c>
      <c r="S78" s="398">
        <f>IF(G2&lt;31,"",SUMPRODUCT((E78:I78&gt;15)*(E78:I78&lt;18)))</f>
        <v>0</v>
      </c>
      <c r="T78" s="370">
        <f t="shared" si="17"/>
        <v>0</v>
      </c>
      <c r="U78" s="394">
        <f t="shared" si="18"/>
        <v>0</v>
      </c>
      <c r="V78" s="400">
        <f>IF(G2&lt;31,"",SUMPRODUCT((E78:I78&gt;6)*(E78:I78&lt;16))+SUMPRODUCT((E78:I78&gt;15)*(E78:I78&lt;18)))</f>
        <v>0</v>
      </c>
      <c r="W78" s="394">
        <f t="shared" si="20"/>
        <v>0</v>
      </c>
      <c r="X78" s="395">
        <f t="shared" si="21"/>
        <v>0</v>
      </c>
      <c r="Y78" s="102">
        <f>IF(G2&lt;31,"",COUNTIF(E78:I78,"&lt;18"))</f>
        <v>0</v>
      </c>
      <c r="Z78" s="339">
        <f t="shared" si="23"/>
        <v>0</v>
      </c>
      <c r="AA78" s="102">
        <f>IF(G2&lt;31,"",COUNTIF(E78:I78,"&lt;18"))</f>
        <v>0</v>
      </c>
      <c r="AB78" s="339">
        <f t="shared" si="25"/>
        <v>0</v>
      </c>
      <c r="AC78" s="102">
        <f>IF(G2&lt;31,"",COUNTIF(E78:I78,"&lt;18"))</f>
        <v>0</v>
      </c>
      <c r="AD78" s="339">
        <f t="shared" si="27"/>
        <v>0</v>
      </c>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row>
    <row r="79" spans="1:64" ht="20.100000000000001" hidden="1" customHeight="1">
      <c r="C79" s="378"/>
      <c r="D79" s="406"/>
      <c r="E79" s="407"/>
      <c r="F79" s="359"/>
      <c r="G79" s="407"/>
      <c r="H79" s="338"/>
      <c r="I79" s="1873">
        <f>IF(AND(J33&gt;0,N33=0,Q33&gt;K33),H87*(F13-1)/30+H79,H79)</f>
        <v>0</v>
      </c>
      <c r="J79" s="1874"/>
      <c r="K79" s="410"/>
      <c r="L79" s="411">
        <f>COUNTIF(L48:L78,"&gt;0")</f>
        <v>0</v>
      </c>
      <c r="M79" s="412"/>
      <c r="N79" s="413"/>
      <c r="O79" s="414">
        <f>COUNTIF(O48:O78,"&gt;0")</f>
        <v>0</v>
      </c>
      <c r="P79" s="415"/>
      <c r="Q79" s="416"/>
      <c r="R79" s="416">
        <f>COUNTIF(R48:R78,"&gt;0")</f>
        <v>0</v>
      </c>
      <c r="S79" s="417"/>
      <c r="T79" s="418"/>
      <c r="U79" s="419">
        <f>COUNTIF(U48:U78,"&gt;0")</f>
        <v>0</v>
      </c>
      <c r="V79" s="420"/>
      <c r="W79" s="410"/>
      <c r="X79" s="416">
        <f>COUNTIF(X48:X78,"&gt;0")</f>
        <v>0</v>
      </c>
      <c r="Y79" s="417"/>
      <c r="Z79" s="411">
        <f>COUNTIF(Z48:Z78,"&gt;0")</f>
        <v>0</v>
      </c>
      <c r="AA79" s="417"/>
      <c r="AB79" s="411">
        <f>COUNTIF(AB48:AB78,"&gt;0")</f>
        <v>0</v>
      </c>
      <c r="AC79" s="417"/>
      <c r="AD79" s="411">
        <f>COUNTIF(AD48:AD78,"&gt;0")</f>
        <v>0</v>
      </c>
      <c r="AE79" s="392">
        <f>SUM(L79:AD79)</f>
        <v>0</v>
      </c>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row>
    <row r="80" spans="1:64" ht="20.100000000000001" hidden="1" customHeight="1">
      <c r="B80" s="359"/>
      <c r="C80" s="378"/>
      <c r="F80" s="421"/>
      <c r="G80" s="338"/>
      <c r="H80" s="338"/>
      <c r="I80" s="339"/>
      <c r="J80" s="402"/>
      <c r="L80" s="402">
        <f>$C$23*0.36</f>
        <v>147.23999999999998</v>
      </c>
      <c r="M80" s="402"/>
      <c r="O80" s="402">
        <f>$C$23*0.12</f>
        <v>49.08</v>
      </c>
      <c r="P80" s="402"/>
      <c r="R80" s="402">
        <f>$C$23*0.36</f>
        <v>147.23999999999998</v>
      </c>
      <c r="S80" s="402"/>
      <c r="U80" s="402">
        <f>$C$23*0.24</f>
        <v>98.16</v>
      </c>
      <c r="V80" s="402"/>
      <c r="X80" s="402">
        <f>$C$23*0.24</f>
        <v>98.16</v>
      </c>
      <c r="Y80" s="402"/>
      <c r="Z80" s="402">
        <f>$C$23*0.36</f>
        <v>147.23999999999998</v>
      </c>
      <c r="AA80" s="402"/>
      <c r="AB80" s="402">
        <f>$C$23*0.48</f>
        <v>196.32</v>
      </c>
      <c r="AC80" s="402"/>
      <c r="AD80" s="402">
        <f>$C$23*0.6</f>
        <v>245.39999999999998</v>
      </c>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row>
    <row r="81" spans="1:64" ht="20.100000000000001" hidden="1" customHeight="1">
      <c r="B81" s="359"/>
      <c r="C81" s="378"/>
      <c r="F81" s="421"/>
      <c r="G81" s="338"/>
      <c r="H81" s="338"/>
      <c r="I81" s="339"/>
      <c r="J81" s="402"/>
      <c r="L81" s="422">
        <f>IF(AND($AE$47=1,$AE$79&gt;30,L48=0),L79-1,IF(AND($AE$47=1,$AE$79=28,L48=0),L79+2,IF(AND($AE$47=1,$AE$79=29,L48=0),L79+1,L79)))</f>
        <v>0</v>
      </c>
      <c r="M81" s="422"/>
      <c r="O81" s="422">
        <f>IF(AND($AE$47=1,$AE$79&gt;30,O48=0),O79-1,IF(AND($AE$47=1,$AE$79=28,O48=0),O79+2,IF(AND($AE$47=1,$AE$79=29,O48=0),O79+1,O79)))</f>
        <v>0</v>
      </c>
      <c r="P81" s="422"/>
      <c r="Q81" s="422"/>
      <c r="R81" s="422">
        <f>IF(AND($AE$47=1,$AE$79&gt;30,R48=0),R79-1,IF(AND($AE$47=1,$AE$79=28,R48=0),R79+2,IF(AND($AE$47=1,$AE$79=29,R48=0),R79+1,R79)))</f>
        <v>0</v>
      </c>
      <c r="S81" s="422"/>
      <c r="U81" s="422">
        <f>IF(AND($AE$47=1,$AE$79&gt;30,U48=0),U79-1,IF(AND($AE$47=1,$AE$79=28,U48=0),U79+2,IF(AND($AE$47=1,$AE$79=29,U48=0),U79+1,U79)))</f>
        <v>0</v>
      </c>
      <c r="V81" s="422"/>
      <c r="X81" s="422">
        <f>IF(AND($AE$47=1,$AE$79&gt;30,X48=0),X79-1,IF(AND($AE$47=1,$AE$79=28,X48=0),X79+2,IF(AND($AE$47=1,$AE$79=29,X48=0),X79+1,X79)))</f>
        <v>0</v>
      </c>
      <c r="Y81" s="422"/>
      <c r="Z81" s="422">
        <f>IF(AND($AE$47=1,$AE$79&gt;30,Z48=0),Z79-1,IF(AND($AE$47=1,$AE$79=28,Z48=0),Z79+2,IF(AND($AE$47=1,$AE$79=29,Z48=0),Z79+1,Z79)))</f>
        <v>0</v>
      </c>
      <c r="AA81" s="422"/>
      <c r="AB81" s="422">
        <f>IF(AND($AE$47=1,$AE$79&gt;30,AB48=0),AB79-1,IF(AND($AE$47=1,$AE$79=28,AB48=0),AB79+2,IF(AND($AE$47=1,$AE$79=29,AB48=0),AB79+1,AB79)))</f>
        <v>0</v>
      </c>
      <c r="AC81" s="422"/>
      <c r="AD81" s="422">
        <f>IF(AND($AE$47=1,$AE$79&gt;30,AD48=0),AD79-1,IF(AND($AE$47=1,$AE$79=28,AD48=0),AD79+2,IF(AND($AE$47=1,$AE$79=29,AD48=0),AD79+1,AD79)))</f>
        <v>0</v>
      </c>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row>
    <row r="82" spans="1:64" ht="20.100000000000001" hidden="1" customHeight="1">
      <c r="B82" s="359"/>
      <c r="C82" s="378"/>
      <c r="F82" s="421"/>
      <c r="G82" s="338"/>
      <c r="H82" s="338"/>
      <c r="I82" s="339"/>
      <c r="J82" s="402"/>
      <c r="L82" s="422">
        <f>IF(AND($AE$79&gt;30,L79=L81),30,IF(AND($AE$79=28,$I$2="februar",L79=L81),30,IF(AND($AE$79=29,$I$2="Februar"),30,L81)))</f>
        <v>0</v>
      </c>
      <c r="M82" s="422"/>
      <c r="O82" s="422">
        <f>IF(AND($AE$79&gt;30,O79=O81),30,IF(AND($AE$79=28,$I$2="februar",O79=O81),30,IF(AND($AE$79=29,$I$2="Februar"),30,O81)))</f>
        <v>0</v>
      </c>
      <c r="P82" s="422"/>
      <c r="Q82" s="422"/>
      <c r="R82" s="422">
        <f>IF(AND($AE$79&gt;30,R79=R81),30,IF(AND($AE$79=28,$I$2="februar",R79=R81),30,IF(AND($AE$79=29,$I$2="Februar"),30,R81)))</f>
        <v>0</v>
      </c>
      <c r="S82" s="422"/>
      <c r="U82" s="422">
        <f>IF(AND($AE$79&gt;30,U79=U81),30,IF(AND($AE$79=28,$I$2="februar",U79=U81),30,IF(AND($AE$79=29,$I$2="Februar"),30,U81)))</f>
        <v>0</v>
      </c>
      <c r="V82" s="422"/>
      <c r="X82" s="422">
        <f>IF(AND($AE$79&gt;30,X79=X81),30,IF(AND($AE$79=28,$I$2="februar",X79=X81),30,IF(AND($AE$79=29,$I$2="Februar"),30,X81)))</f>
        <v>0</v>
      </c>
      <c r="Y82" s="422"/>
      <c r="Z82" s="422">
        <f>IF(AND($AE$79&gt;30,Z79=Z81),30,IF(AND($AE$79=28,$I$2="februar",Z79=Z81),30,IF(AND($AE$79=29,$I$2="Februar"),30,Z81)))</f>
        <v>0</v>
      </c>
      <c r="AA82" s="422"/>
      <c r="AB82" s="422">
        <f>IF(AND($AE$79&gt;30,AB79=AB81),30,IF(AND($AE$79=28,$I$2="februar",AB79=AB81),30,IF(AND($AE$79=29,$I$2="Februar"),30,AB81)))</f>
        <v>0</v>
      </c>
      <c r="AC82" s="422"/>
      <c r="AD82" s="422">
        <f>IF(AND($AE$79&gt;30,AD79=AD81),30,IF(AND($AE$79=28,$I$2="februar",AD79=AD81),30,IF(AND($AE$79=29,$I$2="Februar"),30,AD81)))</f>
        <v>0</v>
      </c>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row>
    <row r="83" spans="1:64" ht="20.100000000000001" hidden="1" customHeight="1">
      <c r="B83" s="359"/>
      <c r="C83" s="378"/>
      <c r="F83" s="421"/>
      <c r="G83" s="338"/>
      <c r="H83" s="338"/>
      <c r="I83" s="339"/>
      <c r="J83" s="402"/>
      <c r="L83" s="422">
        <f>IF(OR(Q89&gt;0,O84&gt;0),L81,L82)</f>
        <v>0</v>
      </c>
      <c r="M83" s="422"/>
      <c r="N83" s="422"/>
      <c r="O83" s="422">
        <f>IF(R80&lt;&gt;Q89,O81,O82)</f>
        <v>0</v>
      </c>
      <c r="P83" s="422"/>
      <c r="Q83" s="422"/>
      <c r="R83" s="422">
        <f>IF(OR(X90&gt;0,Z86&gt;0),R81,R82)</f>
        <v>0</v>
      </c>
      <c r="S83" s="422"/>
      <c r="U83" s="422">
        <f>IF(O84&gt;0,U81,U82)</f>
        <v>0</v>
      </c>
      <c r="V83" s="422"/>
      <c r="X83" s="422">
        <f>IF(AND(Z79&gt;0,U79&gt;0),X81,IF(Z79&gt;0,X81,X82))</f>
        <v>0</v>
      </c>
      <c r="Y83" s="422"/>
      <c r="Z83" s="422">
        <f>IF(AB84&gt;0,Z81,Z82)</f>
        <v>0</v>
      </c>
      <c r="AA83" s="422"/>
      <c r="AB83" s="422">
        <f>IF(AD83&gt;0,AB81,AB82)</f>
        <v>0</v>
      </c>
      <c r="AC83" s="422"/>
      <c r="AD83" s="402">
        <f>IF(AD79=0,0,AD80/$H$2*AD82)</f>
        <v>0</v>
      </c>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row>
    <row r="84" spans="1:64" ht="20.100000000000001" hidden="1" customHeight="1">
      <c r="B84" s="359"/>
      <c r="C84" s="378"/>
      <c r="F84" s="421"/>
      <c r="G84" s="338"/>
      <c r="H84" s="338"/>
      <c r="I84" s="339"/>
      <c r="J84" s="402"/>
      <c r="L84" s="422">
        <f>IF(Z86&gt;0,L81,L83)</f>
        <v>0</v>
      </c>
      <c r="M84" s="422"/>
      <c r="N84" s="422"/>
      <c r="O84" s="402">
        <f>IF(O79=0,0,O80/$H$2*O83)</f>
        <v>0</v>
      </c>
      <c r="P84" s="422"/>
      <c r="Q84" s="422"/>
      <c r="R84" s="422">
        <f>IF(AND($AE$79&gt;30,R78=0),R79,IF(AND($AE$79=28,$I$2="februar",R75=0),R79,IF(AND($AE$79=29,$I$2="Februar",R76=0),R79,R83)))</f>
        <v>0</v>
      </c>
      <c r="S84" s="422"/>
      <c r="T84" s="422"/>
      <c r="U84" s="422">
        <f>IF(Z86&gt;0,U81,U83)</f>
        <v>0</v>
      </c>
      <c r="V84" s="422"/>
      <c r="X84" s="422">
        <f>IF(AND($AE$79&gt;30,X78=0),X79,IF(AND($AE$79=28,$I$2="februar",X75=0),X79,IF(AND($AE$79=29,$I$2="Februar",X76=0),X79,X83)))</f>
        <v>0</v>
      </c>
      <c r="Y84" s="422"/>
      <c r="Z84" s="422">
        <f>IF(X90&gt;0,Z81,Z83)</f>
        <v>0</v>
      </c>
      <c r="AA84" s="422"/>
      <c r="AB84" s="402">
        <f>IF(AB79=0,0,AB80/$H$2*AB83)</f>
        <v>0</v>
      </c>
      <c r="AC84" s="422"/>
      <c r="AD84" s="423">
        <f>IF(AND($AE$79&gt;30,AD78=0),AD80/30*AD79,IF(AND($AE$79=28,$I$2="februar",AD75=0),AD80/30*AD79,IF(AND($AE$79=29,$I$2="Februar",AD76=0),AD80/30*AD79,AD83)))</f>
        <v>0</v>
      </c>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c r="BB84" s="287"/>
      <c r="BC84" s="287"/>
      <c r="BD84" s="287"/>
      <c r="BE84" s="287"/>
      <c r="BF84" s="287"/>
      <c r="BG84" s="287"/>
      <c r="BH84" s="287"/>
      <c r="BI84" s="287"/>
      <c r="BJ84" s="287"/>
      <c r="BK84" s="287"/>
      <c r="BL84" s="287"/>
    </row>
    <row r="85" spans="1:64" ht="20.100000000000001" hidden="1" customHeight="1">
      <c r="B85" s="359"/>
      <c r="C85" s="378"/>
      <c r="F85" s="421"/>
      <c r="G85" s="338"/>
      <c r="H85" s="338"/>
      <c r="I85" s="339"/>
      <c r="J85" s="402"/>
      <c r="L85" s="422">
        <f>IF(AND($AE$79&gt;30,L78=0),L79,IF(AND($AE$79=28,$I$2="februar",L75=0),L79,IF(AND($AE$79=29,$I$2="Februar",L76=0),L79,L84)))</f>
        <v>0</v>
      </c>
      <c r="M85" s="422"/>
      <c r="N85" s="422"/>
      <c r="O85" s="423">
        <f>IF(AND($AE$79&gt;30,O78=0),O80/30*O79,IF(AND($AE$79=28,$I$2="februar",O75=0),O80/30*O79,IF(AND($AE$79=29,$I$2="Februar",O76=0),O80/30*O79,O84)))</f>
        <v>0</v>
      </c>
      <c r="P85" s="422"/>
      <c r="Q85" s="422"/>
      <c r="R85" s="422"/>
      <c r="S85" s="422"/>
      <c r="T85" s="422"/>
      <c r="U85" s="422">
        <f>IF(AND($AE$79&gt;30,U78=0),U79,IF(AND($AE$79=28,$I$2="februar",U75=0),U79,IF(AND($AE$79=29,$I$2="Februar",U76=0),U79,U84)))</f>
        <v>0</v>
      </c>
      <c r="V85" s="422"/>
      <c r="X85" s="422"/>
      <c r="Y85" s="422"/>
      <c r="Z85" s="422">
        <f>IF(O79&gt;0,Z81,Z84)</f>
        <v>0</v>
      </c>
      <c r="AA85" s="422"/>
      <c r="AB85" s="402">
        <f>IF(AND(AB48&gt;0,Z86&lt;Z80),AB84/$H$2*AB81,AB84)</f>
        <v>0</v>
      </c>
      <c r="AC85" s="422"/>
      <c r="AD85" s="422"/>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7"/>
      <c r="BL85" s="287"/>
    </row>
    <row r="86" spans="1:64" ht="20.100000000000001" hidden="1" customHeight="1">
      <c r="B86" s="359"/>
      <c r="C86" s="378"/>
      <c r="F86" s="421"/>
      <c r="G86" s="338"/>
      <c r="H86" s="338"/>
      <c r="I86" s="339"/>
      <c r="J86" s="402"/>
      <c r="L86" s="422"/>
      <c r="M86" s="422"/>
      <c r="N86" s="422"/>
      <c r="O86" s="423">
        <f>IF(AND(I2="Februar",O79&gt;27,O48&gt;0),O80,O85)</f>
        <v>0</v>
      </c>
      <c r="P86" s="422"/>
      <c r="Q86" s="422"/>
      <c r="R86" s="422"/>
      <c r="S86" s="422"/>
      <c r="T86" s="422"/>
      <c r="U86" s="422"/>
      <c r="V86" s="422"/>
      <c r="X86" s="422"/>
      <c r="Y86" s="422"/>
      <c r="Z86" s="402">
        <f>IF(Z79=0,0,Z80/$H$2*Z85)</f>
        <v>0</v>
      </c>
      <c r="AA86" s="422"/>
      <c r="AB86" s="402">
        <f>IF(AD83&lt;AD80,AB84,AB85)</f>
        <v>0</v>
      </c>
      <c r="AC86" s="422"/>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7"/>
      <c r="BL86" s="287"/>
    </row>
    <row r="87" spans="1:64" ht="20.100000000000001" hidden="1" customHeight="1">
      <c r="B87" s="359"/>
      <c r="C87" s="378"/>
      <c r="F87" s="424"/>
      <c r="G87" s="338"/>
      <c r="H87" s="338"/>
      <c r="I87" s="339"/>
      <c r="J87" s="402"/>
      <c r="M87" s="425"/>
      <c r="P87" s="425"/>
      <c r="S87" s="425"/>
      <c r="V87" s="425"/>
      <c r="Y87" s="425"/>
      <c r="Z87" s="423">
        <f>IF(AND(U90&gt;0,U90&lt;&gt;U80),Z86/$H$2*Z81,Z86)</f>
        <v>0</v>
      </c>
      <c r="AA87" s="425"/>
      <c r="AB87" s="423">
        <f>IF(AND($AE$79&gt;30,AB78&gt;0,AD79&gt;0),AB80/30*(AB79-1),IF(AND($AE$79&gt;30,AB78&gt;0,Z79&gt;0),AB80/30*(AB79-1),AB86))</f>
        <v>0</v>
      </c>
      <c r="AC87" s="425"/>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row>
    <row r="88" spans="1:64" ht="20.100000000000001" hidden="1" customHeight="1">
      <c r="B88" s="359"/>
      <c r="C88" s="378"/>
      <c r="F88" s="424"/>
      <c r="G88" s="338"/>
      <c r="H88" s="338"/>
      <c r="I88" s="339"/>
      <c r="J88" s="402"/>
      <c r="M88" s="425"/>
      <c r="P88" s="425"/>
      <c r="S88" s="425"/>
      <c r="V88" s="425"/>
      <c r="Y88" s="425"/>
      <c r="Z88" s="423">
        <f>IF(AND(U90&gt;0,X90&gt;0),Z86,IF(AND(U90&gt;0,AE79=31,Z78&gt;0),Z86,IF(AND(U90&gt;0,AE79=30,Z77&gt;0),Z86,IF(AND(U90&gt;0,AE79=28,I2="Februar",Z75&gt;0),Z86,Z87))))</f>
        <v>0</v>
      </c>
      <c r="AA88" s="425"/>
      <c r="AB88" s="406">
        <f>MIN(AB85,AB87)</f>
        <v>0</v>
      </c>
      <c r="AC88" s="425"/>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row>
    <row r="89" spans="1:64" ht="20.100000000000001" hidden="1" customHeight="1">
      <c r="B89" s="359"/>
      <c r="C89" s="378"/>
      <c r="F89" s="424"/>
      <c r="G89" s="338"/>
      <c r="H89" s="338"/>
      <c r="I89" s="339"/>
      <c r="J89" s="402"/>
      <c r="M89" s="425"/>
      <c r="P89" s="425"/>
      <c r="Q89" s="425"/>
      <c r="S89" s="425"/>
      <c r="V89" s="425"/>
      <c r="Y89" s="425"/>
      <c r="Z89" s="423">
        <f>IF(AND(L90&gt;0,U90&gt;0,L84&lt;L79),Z80/30*Z79,IF(AND(L90&gt;0,U90&gt;0,U84&lt;U79),Z80/30*Z79,IF(AND(L90&gt;0,U90&gt;0,L84=L79,U84=U79),Z80/30*Z85,Z88)))</f>
        <v>0</v>
      </c>
      <c r="AA89" s="425"/>
      <c r="AC89" s="425"/>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row>
    <row r="90" spans="1:64" ht="20.100000000000001" hidden="1" customHeight="1">
      <c r="B90" s="359"/>
      <c r="C90" s="378"/>
      <c r="F90" s="424"/>
      <c r="G90" s="338"/>
      <c r="H90" s="338"/>
      <c r="I90" s="339"/>
      <c r="J90" s="402"/>
      <c r="L90" s="425">
        <f>IF(L79=0,0,L80/$H$2*L85)</f>
        <v>0</v>
      </c>
      <c r="M90" s="425"/>
      <c r="O90" s="425">
        <f>IF(O84&gt;O80,O80/$H$2*O82,O86)</f>
        <v>0</v>
      </c>
      <c r="P90" s="425"/>
      <c r="Q90" s="425"/>
      <c r="R90" s="425">
        <f>IF(OR(Z86&gt;137.51,R79=0),0,R80/$H$2*R84)</f>
        <v>0</v>
      </c>
      <c r="S90" s="425"/>
      <c r="U90" s="425">
        <f>IF(U79=0,0,U80/$H$2*U85)</f>
        <v>0</v>
      </c>
      <c r="V90" s="425"/>
      <c r="X90" s="425">
        <f>IF(X79=0,0,X80/$H$2*X84)</f>
        <v>0</v>
      </c>
      <c r="Y90" s="425"/>
      <c r="Z90" s="426">
        <f>IF(AND($AE$79&gt;30,Z78&gt;0,X79&gt;0,R79&gt;0),Z80/30*(Z79-1),Z89)</f>
        <v>0</v>
      </c>
      <c r="AA90" s="425"/>
      <c r="AB90" s="427">
        <f>IF(AB86+Z89&gt;AB80,AB88,AB87)</f>
        <v>0</v>
      </c>
      <c r="AC90" s="425"/>
      <c r="AD90" s="426">
        <f>IF(AND(AB48=0,AB90&gt;0),AD83/$H$2*AD81,AD84)</f>
        <v>0</v>
      </c>
      <c r="AE90" s="428">
        <f>IF(Z89=Z80,Z89,SUM(L90:AD90))</f>
        <v>0</v>
      </c>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row>
    <row r="91" spans="1:64" ht="20.100000000000001" customHeight="1">
      <c r="A91" s="358" t="s">
        <v>164</v>
      </c>
      <c r="B91" s="359"/>
      <c r="C91" s="465">
        <f>Zusatzeingaben!C91</f>
        <v>0</v>
      </c>
      <c r="D91" s="465">
        <f>Zusatzeingaben!D91</f>
        <v>0</v>
      </c>
      <c r="E91" s="465">
        <f>Zusatzeingaben!E91</f>
        <v>0</v>
      </c>
      <c r="F91" s="465">
        <f>Zusatzeingaben!F91</f>
        <v>0</v>
      </c>
      <c r="G91" s="465">
        <f>Zusatzeingaben!G91</f>
        <v>0</v>
      </c>
      <c r="H91" s="465">
        <f>Zusatzeingaben!H91</f>
        <v>0</v>
      </c>
      <c r="I91" s="465">
        <f>Zusatzeingaben!I91</f>
        <v>0</v>
      </c>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row>
    <row r="92" spans="1:64" ht="16.5" hidden="1">
      <c r="A92" s="358"/>
      <c r="B92" s="359"/>
      <c r="C92" s="378">
        <f>IF(C91="ja",C23*35/100,0)</f>
        <v>0</v>
      </c>
      <c r="D92" s="378">
        <f>IF(D91="ja",D23*35/100,0)</f>
        <v>0</v>
      </c>
      <c r="E92" s="378">
        <f>IF(AND(E18&gt;14,E91="ja"),E33*35/100,0)</f>
        <v>0</v>
      </c>
      <c r="F92" s="378">
        <f>IF(AND(F18&gt;14,F91="ja"),F33*35/100,0)</f>
        <v>0</v>
      </c>
      <c r="G92" s="378">
        <f>IF(AND(G18&gt;14,G91="ja"),G33*35/100,0)</f>
        <v>0</v>
      </c>
      <c r="H92" s="378">
        <f>IF(AND(H18&gt;14,H91="ja"),H33*35/100,0)</f>
        <v>0</v>
      </c>
      <c r="I92" s="429">
        <f>IF(AND(I18&gt;14,I91="ja"),I33*35/100,0)</f>
        <v>0</v>
      </c>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row>
    <row r="93" spans="1:64" ht="18.75" customHeight="1">
      <c r="A93" s="430" t="s">
        <v>165</v>
      </c>
      <c r="B93" s="1875" t="s">
        <v>166</v>
      </c>
      <c r="C93" s="457">
        <f>Zusatzeingaben!C93</f>
        <v>0</v>
      </c>
      <c r="D93" s="457">
        <f>Zusatzeingaben!D93</f>
        <v>0</v>
      </c>
      <c r="E93" s="457">
        <f>Zusatzeingaben!E93</f>
        <v>0</v>
      </c>
      <c r="F93" s="457">
        <f>Zusatzeingaben!F93</f>
        <v>0</v>
      </c>
      <c r="G93" s="457">
        <f>Zusatzeingaben!G93</f>
        <v>0</v>
      </c>
      <c r="H93" s="457">
        <f>Zusatzeingaben!H93</f>
        <v>0</v>
      </c>
      <c r="I93" s="457">
        <f>Zusatzeingaben!I93</f>
        <v>0</v>
      </c>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row>
    <row r="94" spans="1:64" ht="20.100000000000001" customHeight="1">
      <c r="A94" s="102" t="s">
        <v>2341</v>
      </c>
      <c r="B94" s="359"/>
      <c r="C94" s="457">
        <f>Zusatzeingaben!C94</f>
        <v>0</v>
      </c>
      <c r="D94" s="457">
        <f>Zusatzeingaben!D94</f>
        <v>0</v>
      </c>
      <c r="E94" s="457">
        <f>Zusatzeingaben!E94</f>
        <v>0</v>
      </c>
      <c r="F94" s="457">
        <f>Zusatzeingaben!F94</f>
        <v>0</v>
      </c>
      <c r="G94" s="457">
        <f>Zusatzeingaben!G94</f>
        <v>0</v>
      </c>
      <c r="H94" s="457">
        <f>Zusatzeingaben!H94</f>
        <v>0</v>
      </c>
      <c r="I94" s="457">
        <f>Zusatzeingaben!I94</f>
        <v>0</v>
      </c>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row>
    <row r="95" spans="1:64" ht="20.100000000000001" customHeight="1">
      <c r="A95" s="358" t="s">
        <v>2342</v>
      </c>
      <c r="B95" s="434" t="str">
        <f>Zusatzeingaben!B95</f>
        <v>Nein</v>
      </c>
      <c r="C95" s="1686">
        <f>C33*2.3/100</f>
        <v>9.407</v>
      </c>
      <c r="D95" s="1686">
        <f>IF(AND(D22=17,D18=18),D25*2.3/100+D26*1.4/100,0)</f>
        <v>0</v>
      </c>
      <c r="E95" s="1686">
        <f>IF(AND(E18=6,E16=5),E25*0.012+E26*0.008,IF(AND(E18=14,E16=13),E25*0.014+E26*0.012,IF(AND(E18=18,E16=17),E25*0.023+E26*0.014,IF(E18&gt;24,E33*0.023,0))))</f>
        <v>0</v>
      </c>
      <c r="F95" s="1686">
        <f>IF(AND(F18=6,F16=5),F25*0.012+F26*0.008,IF(AND(F18=14,F16=13),F25*0.014+F26*0.012,IF(AND(F18=18,F16=17),F25*0.023+F26*0.014,IF(F18&gt;24,F33*0.023,0))))</f>
        <v>0</v>
      </c>
      <c r="G95" s="1686">
        <f>IF(AND(G18=6,G16=5),G25*0.012+G26*0.008,IF(AND(G18=14,G16=13),G25*0.014+G26*0.012,IF(AND(G18=18,G16=17),G25*0.023+G26*0.014,IF(G18&gt;24,G33*0.023,0))))</f>
        <v>0</v>
      </c>
      <c r="H95" s="1686">
        <f>IF(AND(H18=6,H16=5),H25*0.012+H26*0.008,IF(AND(H18=14,H16=13),H25*0.014+H26*0.012,IF(AND(H18=18,H16=17),H25*0.023+H26*0.014,IF(H18&gt;24,H33*0.023,0))))</f>
        <v>0</v>
      </c>
      <c r="I95" s="1687">
        <f>IF(AND(I18=6,I16=5),I25*0.012+I26*0.008,IF(AND(I18=14,I16=13),I25*0.014+I26*0.012,IF(AND(I18=18,I16=17),I25*0.023+I26*0.014,IF(I18&gt;24,I33*0.023,0))))</f>
        <v>0</v>
      </c>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row>
    <row r="96" spans="1:64" ht="20.100000000000001" hidden="1" customHeight="1">
      <c r="A96" s="438"/>
      <c r="B96" s="439"/>
      <c r="C96" s="440"/>
      <c r="D96" s="440">
        <f>IF(D22&gt;17,D33*2.3/100,D95)</f>
        <v>0</v>
      </c>
      <c r="E96" s="440">
        <f>IF(E33=0,0,IF(E33&lt;224,E33*0.008,IF(AND(E16&lt;6,E18&lt;6),E23*0.8/100,IF(AND(E16&lt;14,E18&lt;14),E23*1.2/100,IF(AND(E16&lt;18,E18&lt;18),E23*1.4/100,E23*2.3/100)))))</f>
        <v>0</v>
      </c>
      <c r="F96" s="440">
        <f>IF(F33=0,0,IF(F33&lt;224,F33*0.008,IF(AND(F16&lt;6,F18&lt;6),F23*0.8/100,IF(AND(F16&lt;14,F18&lt;14),F23*1.2/100,IF(AND(F16&lt;18,F18&lt;18),F23*1.4/100,F23*2.3/100)))))</f>
        <v>0</v>
      </c>
      <c r="G96" s="440">
        <f>IF(G33=0,0,IF(G33&lt;224,G33*0.008,IF(AND(G16&lt;6,G18&lt;6),G23*0.8/100,IF(AND(G16&lt;14,G18&lt;14),G23*1.2/100,IF(AND(G16&lt;18,G18&lt;18),G23*1.4/100,G23*2.3/100)))))</f>
        <v>0</v>
      </c>
      <c r="H96" s="440">
        <f>IF(H33=0,0,IF(H33&lt;224,H33*0.008,IF(AND(H16&lt;6,H18&lt;6),H23*0.8/100,IF(AND(H16&lt;14,H18&lt;14),H23*1.2/100,IF(AND(H16&lt;18,H18&lt;18),H23*1.4/100,H23*2.3/100)))))</f>
        <v>0</v>
      </c>
      <c r="I96" s="441">
        <f>IF(I33=0,0,IF(I33&lt;224,I33*0.008,IF(AND(I16&lt;6,I18&lt;6),I23*0.8/100,IF(AND(I16&lt;14,I18&lt;14),I23*1.2/100,IF(AND(I16&lt;18,I18&lt;18),I23*1.4/100,I23*2.3/100)))))</f>
        <v>0</v>
      </c>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row>
    <row r="97" spans="1:64" ht="20.100000000000001" hidden="1" customHeight="1">
      <c r="A97" s="438"/>
      <c r="B97" s="439"/>
      <c r="C97" s="440"/>
      <c r="D97" s="440"/>
      <c r="E97" s="440">
        <f>IF(E95&gt;0,E95,E96)</f>
        <v>0</v>
      </c>
      <c r="F97" s="440">
        <f>IF(F95&gt;0,F95,F96)</f>
        <v>0</v>
      </c>
      <c r="G97" s="440">
        <f>IF(G95&gt;0,G95,G96)</f>
        <v>0</v>
      </c>
      <c r="H97" s="440">
        <f>IF(H95&gt;0,H95,H96)</f>
        <v>0</v>
      </c>
      <c r="I97" s="441">
        <f>IF(I95&gt;0,I95,I96)</f>
        <v>0</v>
      </c>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row>
    <row r="98" spans="1:64" ht="16.5" hidden="1">
      <c r="A98" s="438"/>
      <c r="B98" s="442"/>
      <c r="C98" s="433">
        <f>IF(B95="ja",C95,0)</f>
        <v>0</v>
      </c>
      <c r="D98" s="433">
        <f>IF(B95="ja",D96,0)</f>
        <v>0</v>
      </c>
      <c r="E98" s="433">
        <f>IF(B95="ja",E97,0)</f>
        <v>0</v>
      </c>
      <c r="F98" s="433">
        <f>IF(B95="ja",F97,0)</f>
        <v>0</v>
      </c>
      <c r="G98" s="433">
        <f>IF(B95="ja",G97,0)</f>
        <v>0</v>
      </c>
      <c r="H98" s="433">
        <f>IF(B95="ja",H97,0)</f>
        <v>0</v>
      </c>
      <c r="I98" s="443">
        <f>IF(B95="ja",I97,0)</f>
        <v>0</v>
      </c>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row>
    <row r="99" spans="1:64" ht="20.100000000000001" customHeight="1">
      <c r="A99" s="444" t="s">
        <v>168</v>
      </c>
      <c r="B99" s="445"/>
      <c r="C99" s="1677">
        <f>Zusatzeingaben!C99</f>
        <v>0</v>
      </c>
      <c r="D99" s="1677">
        <f>Zusatzeingaben!D99</f>
        <v>0</v>
      </c>
      <c r="E99" s="1677">
        <f>Zusatzeingaben!E99</f>
        <v>0</v>
      </c>
      <c r="F99" s="1677">
        <f>Zusatzeingaben!F99</f>
        <v>0</v>
      </c>
      <c r="G99" s="1677">
        <f>Zusatzeingaben!G99</f>
        <v>0</v>
      </c>
      <c r="H99" s="1677">
        <f>Zusatzeingaben!H99</f>
        <v>0</v>
      </c>
      <c r="I99" s="1677">
        <f>Zusatzeingaben!I99</f>
        <v>0</v>
      </c>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row>
    <row r="100" spans="1:64" ht="16.5" hidden="1">
      <c r="A100" s="448"/>
      <c r="B100" s="449"/>
      <c r="C100" s="450">
        <f t="shared" ref="C100:I100" si="28">IF(AND(C18&gt;14,C99="ja"),C33*17/100,0)</f>
        <v>0</v>
      </c>
      <c r="D100" s="450">
        <f t="shared" si="28"/>
        <v>0</v>
      </c>
      <c r="E100" s="450">
        <f t="shared" si="28"/>
        <v>0</v>
      </c>
      <c r="F100" s="450">
        <f t="shared" si="28"/>
        <v>0</v>
      </c>
      <c r="G100" s="450">
        <f t="shared" si="28"/>
        <v>0</v>
      </c>
      <c r="H100" s="450">
        <f t="shared" si="28"/>
        <v>0</v>
      </c>
      <c r="I100" s="451">
        <f t="shared" si="28"/>
        <v>0</v>
      </c>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row>
    <row r="101" spans="1:64" ht="26.25" customHeight="1">
      <c r="A101" s="452" t="s">
        <v>169</v>
      </c>
      <c r="B101" s="453" t="s">
        <v>141</v>
      </c>
      <c r="C101" s="928"/>
      <c r="D101" s="928"/>
      <c r="E101" s="928"/>
      <c r="F101" s="928"/>
      <c r="G101" s="928"/>
      <c r="H101" s="928"/>
      <c r="I101" s="929"/>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row>
    <row r="102" spans="1:64" ht="20.100000000000001" customHeight="1">
      <c r="A102" s="456" t="s">
        <v>170</v>
      </c>
      <c r="B102" s="457">
        <f>Zusatzeingaben!B102</f>
        <v>0</v>
      </c>
      <c r="C102" s="1690">
        <f>B102/C5*B6</f>
        <v>0</v>
      </c>
      <c r="D102" s="338"/>
      <c r="E102" s="338"/>
      <c r="F102" s="338"/>
      <c r="G102" s="338"/>
      <c r="H102" s="338"/>
      <c r="I102" s="339"/>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row>
    <row r="103" spans="1:64" ht="20.100000000000001" hidden="1" customHeight="1">
      <c r="A103" s="456" t="s">
        <v>171</v>
      </c>
      <c r="B103" s="457"/>
      <c r="C103" s="1690">
        <f>B103/C5*B6</f>
        <v>0</v>
      </c>
      <c r="D103" s="338"/>
      <c r="E103" s="338"/>
      <c r="F103" s="338"/>
      <c r="G103" s="338"/>
      <c r="H103" s="338"/>
      <c r="I103" s="339"/>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row>
    <row r="104" spans="1:64" ht="20.100000000000001" customHeight="1">
      <c r="A104" s="456" t="s">
        <v>2417</v>
      </c>
      <c r="B104" s="457">
        <f>Zusatzeingaben!B104</f>
        <v>0</v>
      </c>
      <c r="C104" s="1690">
        <f>IF(B102+B105+B106+B115&gt;0,B104/C5*B6,0)</f>
        <v>0</v>
      </c>
      <c r="D104" s="338"/>
      <c r="E104" s="338"/>
      <c r="F104" s="338"/>
      <c r="G104" s="338"/>
      <c r="H104" s="338"/>
      <c r="I104" s="339"/>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row>
    <row r="105" spans="1:64" ht="20.100000000000001" customHeight="1">
      <c r="A105" s="456" t="s">
        <v>54</v>
      </c>
      <c r="B105" s="457">
        <f>Zusatzeingaben!B105</f>
        <v>0</v>
      </c>
      <c r="C105" s="1690">
        <f>B105/C5*B6</f>
        <v>0</v>
      </c>
      <c r="D105" s="338"/>
      <c r="E105" s="338"/>
      <c r="F105" s="338"/>
      <c r="G105" s="338"/>
      <c r="H105" s="338"/>
      <c r="I105" s="339"/>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row>
    <row r="106" spans="1:64" ht="20.100000000000001" customHeight="1">
      <c r="A106" s="456" t="s">
        <v>2418</v>
      </c>
      <c r="B106" s="457">
        <f>Zusatzeingaben!B106</f>
        <v>0</v>
      </c>
      <c r="C106" s="1690">
        <f>B106/C5*B6</f>
        <v>0</v>
      </c>
      <c r="D106" s="338"/>
      <c r="E106" s="338"/>
      <c r="F106" s="338"/>
      <c r="G106" s="338"/>
      <c r="H106" s="338"/>
      <c r="I106" s="339"/>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287"/>
      <c r="BF106" s="287"/>
      <c r="BG106" s="287"/>
      <c r="BH106" s="287"/>
      <c r="BI106" s="287"/>
      <c r="BJ106" s="287"/>
      <c r="BK106" s="287"/>
      <c r="BL106" s="287"/>
    </row>
    <row r="107" spans="1:64" ht="20.100000000000001" customHeight="1">
      <c r="A107" s="464" t="s">
        <v>2419</v>
      </c>
      <c r="B107" s="457">
        <f>Zusatzeingaben!B107</f>
        <v>0</v>
      </c>
      <c r="C107" s="1690">
        <f>IF(B102+B105+B106+B115&gt;0,B107/C5*B6,0)</f>
        <v>0</v>
      </c>
      <c r="D107" s="421"/>
      <c r="E107" s="421"/>
      <c r="F107" s="421"/>
      <c r="G107" s="421"/>
      <c r="H107" s="421"/>
      <c r="I107" s="157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287"/>
      <c r="BJ107" s="287"/>
      <c r="BK107" s="287"/>
      <c r="BL107" s="287"/>
    </row>
    <row r="108" spans="1:64" ht="16.5" hidden="1">
      <c r="A108" s="214"/>
      <c r="B108" s="433"/>
      <c r="C108" s="338">
        <f>C107/B6</f>
        <v>0</v>
      </c>
      <c r="D108" s="338">
        <f>IF(D21&gt;0,C107/B6,0)</f>
        <v>0</v>
      </c>
      <c r="E108" s="338">
        <f>IF(E33&gt;0,C107/B6,0)</f>
        <v>0</v>
      </c>
      <c r="F108" s="338">
        <f>IF(F33&gt;0,C107/B6,0)</f>
        <v>0</v>
      </c>
      <c r="G108" s="338">
        <f>IF(G33&gt;0,C107/B6,0)</f>
        <v>0</v>
      </c>
      <c r="H108" s="338">
        <f>IF(H33&gt;0,C107/B6,0)</f>
        <v>0</v>
      </c>
      <c r="I108" s="339">
        <f>IF(I33&gt;0,C107/B6,0)</f>
        <v>0</v>
      </c>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287"/>
      <c r="BJ108" s="287"/>
      <c r="BK108" s="287"/>
      <c r="BL108" s="287"/>
    </row>
    <row r="109" spans="1:64" ht="20.100000000000001" hidden="1" customHeight="1">
      <c r="A109" s="464" t="s">
        <v>172</v>
      </c>
      <c r="B109" s="465"/>
      <c r="C109" s="466"/>
      <c r="D109" s="421"/>
      <c r="E109" s="421"/>
      <c r="F109" s="421"/>
      <c r="G109" s="421"/>
      <c r="H109" s="421"/>
      <c r="I109" s="157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287"/>
      <c r="BJ109" s="287"/>
      <c r="BK109" s="287"/>
      <c r="BL109" s="287"/>
    </row>
    <row r="110" spans="1:64" ht="16.5" hidden="1">
      <c r="A110" s="214"/>
      <c r="B110" s="378"/>
      <c r="C110" s="440">
        <f>IF(C24&lt;C23,C33*0.07772,0)</f>
        <v>0</v>
      </c>
      <c r="D110" s="440">
        <f>IF(AND(D22=17,D18=18),D25*0.0775+D26*0.046,0)</f>
        <v>0</v>
      </c>
      <c r="E110" s="440">
        <f>IF(E33=0,0,IF(AND(E16=0,E33&lt;224),E33*0.0247,IF(AND(E18=6,E16=5),E25*0.0405+E26*0.0247,IF(AND(E18=14,E16=13),E25*0.046+E26*0.0405,IF(AND(E18=18,E16=17),E25*0.0772+E26*0.046,IF(E18&gt;24,E33*0.0772,0))))))</f>
        <v>0</v>
      </c>
      <c r="F110" s="440">
        <f>IF(F33=0,0,IF(AND(F16=0,F33&lt;224),F33*0.0247,IF(AND(F18=6,F16=5),F25*0.0405+F26*0.0247,IF(AND(F18=14,F16=13),F25*0.046+F26*0.0405,IF(AND(F18=18,F16=17),F25*0.0772+F26*0.046,IF(F18&gt;24,F33*0.0772,0))))))</f>
        <v>0</v>
      </c>
      <c r="G110" s="440">
        <f>IF(G33=0,0,IF(AND(G16=0,G33&lt;224),G33*0.0247,IF(AND(G18=6,G16=5),G25*0.0405+G26*0.0247,IF(AND(G18=14,G16=13),G25*0.046+G26*0.0405,IF(AND(G18=18,G16=17),G25*0.0772+G26*0.046,IF(G18&gt;24,G33*0.0772,0))))))</f>
        <v>0</v>
      </c>
      <c r="H110" s="440">
        <f>IF(H33=0,0,IF(AND(H16=0,H33&lt;224),H33*0.0247,IF(AND(H18=6,H16=5),H25*0.0405+H26*0.0247,IF(AND(H18=14,H16=13),H25*0.046+H26*0.0405,IF(AND(H18=18,H16=17),H25*0.0772+H26*0.046,IF(H18&gt;24,H33*0.0772,0))))))</f>
        <v>0</v>
      </c>
      <c r="I110" s="440">
        <f>IF(I33=0,0,IF(AND(I16=0,I33&lt;224),I33*0.0247,IF(AND(I18=6,I16=5),I25*0.0405+I26*0.0247,IF(AND(I18=14,I16=13),I25*0.046+I26*0.0405,IF(AND(I18=18,I16=17),I25*0.0772+I26*0.046,IF(I18&gt;24,I33*0.0772,0))))))</f>
        <v>0</v>
      </c>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c r="BC110" s="287"/>
      <c r="BD110" s="287"/>
      <c r="BE110" s="287"/>
      <c r="BF110" s="287"/>
      <c r="BG110" s="287"/>
      <c r="BH110" s="287"/>
      <c r="BI110" s="287"/>
      <c r="BJ110" s="287"/>
      <c r="BK110" s="287"/>
      <c r="BL110" s="287"/>
    </row>
    <row r="111" spans="1:64" ht="16.5" hidden="1">
      <c r="A111" s="214"/>
      <c r="B111" s="378"/>
      <c r="C111" s="473">
        <f>VLOOKUP(C23,Bedarfssätze!B70:C87,2)</f>
        <v>31.01</v>
      </c>
      <c r="D111" s="473" t="e">
        <f>VLOOKUP(D23,Bedarfssätze!B70:C87,2)</f>
        <v>#N/A</v>
      </c>
      <c r="E111" s="473" t="e">
        <f>VLOOKUP(E23,Bedarfssätze!B70:C87,2)</f>
        <v>#N/A</v>
      </c>
      <c r="F111" s="473" t="e">
        <f>VLOOKUP(F23,Bedarfssätze!B70:C87,2)</f>
        <v>#N/A</v>
      </c>
      <c r="G111" s="473" t="e">
        <f>VLOOKUP(G23,Bedarfssätze!B70:C87,2)</f>
        <v>#N/A</v>
      </c>
      <c r="H111" s="473" t="e">
        <f>VLOOKUP(H23,Bedarfssätze!B70:C87,2)</f>
        <v>#N/A</v>
      </c>
      <c r="I111" s="1695" t="e">
        <f>VLOOKUP(I23,Bedarfssätze!B70:C87,2)</f>
        <v>#N/A</v>
      </c>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row>
    <row r="112" spans="1:64" ht="16.5" hidden="1">
      <c r="A112" s="214"/>
      <c r="B112" s="378"/>
      <c r="C112" s="440">
        <f>IF(AND(D110=0,C111&gt;C110),C111,C110)</f>
        <v>31.01</v>
      </c>
      <c r="D112" s="440" t="e">
        <f t="shared" ref="D112:I112" si="29">IF(D110&gt;0,D110,D111)</f>
        <v>#N/A</v>
      </c>
      <c r="E112" s="440" t="e">
        <f t="shared" si="29"/>
        <v>#N/A</v>
      </c>
      <c r="F112" s="440" t="e">
        <f t="shared" si="29"/>
        <v>#N/A</v>
      </c>
      <c r="G112" s="440" t="e">
        <f t="shared" si="29"/>
        <v>#N/A</v>
      </c>
      <c r="H112" s="440" t="e">
        <f t="shared" si="29"/>
        <v>#N/A</v>
      </c>
      <c r="I112" s="440" t="e">
        <f t="shared" si="29"/>
        <v>#N/A</v>
      </c>
    </row>
    <row r="113" spans="1:64" ht="15.75" hidden="1">
      <c r="A113" s="214"/>
      <c r="B113" s="378"/>
      <c r="C113" s="338">
        <f>IF(AND(B102+B105+B106+B115&gt;0,B109="ja"),C112,0)</f>
        <v>0</v>
      </c>
      <c r="D113" s="338">
        <f>IF(AND(B102+B105+B106+B115&gt;0,D21&gt;0,B109="ja"),D112,0)</f>
        <v>0</v>
      </c>
      <c r="E113" s="338">
        <f>IF(AND($B$102+$B$105+$B$106+$B$115&gt;0,E33&gt;0,$B$109="ja"),E112,0)</f>
        <v>0</v>
      </c>
      <c r="F113" s="338">
        <f>IF(AND($B$102+$B$105+$B$106+$B$115&gt;0,F33&gt;0,$B$109="ja"),F112,0)</f>
        <v>0</v>
      </c>
      <c r="G113" s="338">
        <f>IF(AND($B$102+$B$105+$B$106+$B$115&gt;0,G33&gt;0,$B$109="ja"),G112,0)</f>
        <v>0</v>
      </c>
      <c r="H113" s="338">
        <f>IF(AND($B$102+$B$105+$B$106+$B$115&gt;0,H33&gt;0,$B$109="ja"),H112,0)</f>
        <v>0</v>
      </c>
      <c r="I113" s="338">
        <f>IF(AND($B$102+$B$105+$B$106+$B$115&gt;0,I33&gt;0,$B$109="ja"),I112,0)</f>
        <v>0</v>
      </c>
    </row>
    <row r="114" spans="1:64" ht="15.75" hidden="1">
      <c r="A114" s="214"/>
      <c r="B114" s="378"/>
      <c r="C114" s="1696">
        <f t="shared" ref="C114:I114" si="30">C108+C113</f>
        <v>0</v>
      </c>
      <c r="D114" s="1696">
        <f t="shared" si="30"/>
        <v>0</v>
      </c>
      <c r="E114" s="1696">
        <f t="shared" si="30"/>
        <v>0</v>
      </c>
      <c r="F114" s="1696">
        <f t="shared" si="30"/>
        <v>0</v>
      </c>
      <c r="G114" s="1696">
        <f t="shared" si="30"/>
        <v>0</v>
      </c>
      <c r="H114" s="1696">
        <f t="shared" si="30"/>
        <v>0</v>
      </c>
      <c r="I114" s="1697">
        <f t="shared" si="30"/>
        <v>0</v>
      </c>
    </row>
    <row r="115" spans="1:64" ht="20.100000000000001" customHeight="1">
      <c r="A115" s="481" t="s">
        <v>55</v>
      </c>
      <c r="B115" s="482">
        <f>Zusatzeingaben!B115</f>
        <v>0</v>
      </c>
      <c r="C115" s="1700">
        <f>B115/C5*B6</f>
        <v>0</v>
      </c>
      <c r="D115" s="1701"/>
      <c r="E115" s="1701"/>
      <c r="F115" s="1701"/>
      <c r="G115" s="1701"/>
      <c r="H115" s="1701"/>
      <c r="I115" s="1702"/>
    </row>
    <row r="116" spans="1:64" ht="18">
      <c r="A116" s="1703" t="s">
        <v>173</v>
      </c>
      <c r="B116" s="453" t="s">
        <v>141</v>
      </c>
      <c r="C116" s="928"/>
      <c r="D116" s="928"/>
      <c r="E116" s="928"/>
      <c r="F116" s="928"/>
      <c r="G116" s="928"/>
      <c r="H116" s="928"/>
      <c r="I116" s="929"/>
    </row>
    <row r="117" spans="1:64" ht="20.100000000000001" customHeight="1">
      <c r="A117" s="481" t="s">
        <v>174</v>
      </c>
      <c r="B117" s="445"/>
      <c r="C117" s="482">
        <f>Zusatzeingaben!C117</f>
        <v>0</v>
      </c>
      <c r="D117" s="482">
        <f>Zusatzeingaben!D117</f>
        <v>0</v>
      </c>
      <c r="E117" s="482">
        <f>Zusatzeingaben!E117</f>
        <v>0</v>
      </c>
      <c r="F117" s="482">
        <f>Zusatzeingaben!F117</f>
        <v>0</v>
      </c>
      <c r="G117" s="482">
        <f>Zusatzeingaben!G117</f>
        <v>0</v>
      </c>
      <c r="H117" s="482">
        <f>Zusatzeingaben!H117</f>
        <v>0</v>
      </c>
      <c r="I117" s="482">
        <f>Zusatzeingaben!I117</f>
        <v>0</v>
      </c>
    </row>
    <row r="118" spans="1:64">
      <c r="C118" s="487"/>
      <c r="D118" s="487"/>
      <c r="E118" s="487"/>
      <c r="F118" s="487"/>
      <c r="G118" s="487"/>
      <c r="H118" s="487"/>
    </row>
    <row r="119" spans="1:64" ht="20.25">
      <c r="A119" s="1657"/>
      <c r="B119" s="1658" t="s">
        <v>175</v>
      </c>
      <c r="C119" s="1659"/>
      <c r="D119" s="1659"/>
      <c r="E119" s="1659"/>
      <c r="F119" s="1659"/>
      <c r="G119" s="1659"/>
      <c r="H119" s="1659"/>
      <c r="I119" s="1660"/>
    </row>
    <row r="120" spans="1:64" ht="21.95" customHeight="1">
      <c r="A120" s="488" t="s">
        <v>176</v>
      </c>
      <c r="B120" s="489" t="s">
        <v>141</v>
      </c>
      <c r="C120" s="489" t="str">
        <f>C4</f>
        <v>Antragsteller</v>
      </c>
      <c r="D120" s="489" t="str">
        <f>D4</f>
        <v>Partner(in)</v>
      </c>
      <c r="E120" s="489" t="str">
        <f>E4</f>
        <v>Kind 1</v>
      </c>
      <c r="F120" s="489" t="s">
        <v>145</v>
      </c>
      <c r="G120" s="489" t="s">
        <v>146</v>
      </c>
      <c r="H120" s="489" t="s">
        <v>147</v>
      </c>
      <c r="I120" s="490" t="s">
        <v>148</v>
      </c>
    </row>
    <row r="121" spans="1:64" ht="20.100000000000001" customHeight="1">
      <c r="A121" s="491" t="s">
        <v>177</v>
      </c>
      <c r="B121" s="1704"/>
      <c r="C121" s="1704"/>
      <c r="D121" s="1704"/>
      <c r="E121" s="1704"/>
      <c r="F121" s="1704"/>
      <c r="G121" s="1704"/>
      <c r="H121" s="1704"/>
      <c r="I121" s="1705"/>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row>
    <row r="122" spans="1:64" ht="20.100000000000001" customHeight="1">
      <c r="A122" s="495" t="s">
        <v>2420</v>
      </c>
      <c r="B122" s="496"/>
      <c r="C122" s="1706">
        <f>Zusatzeingaben!C122</f>
        <v>21</v>
      </c>
      <c r="D122" s="1706">
        <f>Zusatzeingaben!D122</f>
        <v>21</v>
      </c>
      <c r="E122" s="1706">
        <f>Zusatzeingaben!E122</f>
        <v>21</v>
      </c>
      <c r="F122" s="1706">
        <f>Zusatzeingaben!F122</f>
        <v>21</v>
      </c>
      <c r="G122" s="1706">
        <f>Zusatzeingaben!G122</f>
        <v>21</v>
      </c>
      <c r="H122" s="1706">
        <f>Zusatzeingaben!H122</f>
        <v>21</v>
      </c>
      <c r="I122" s="1706">
        <f>Zusatzeingaben!I122</f>
        <v>21</v>
      </c>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row>
    <row r="123" spans="1:64" ht="20.100000000000001" customHeight="1">
      <c r="A123" s="498" t="s">
        <v>179</v>
      </c>
      <c r="B123" s="359"/>
      <c r="C123" s="1706">
        <f>Zusatzeingaben!C123</f>
        <v>0</v>
      </c>
      <c r="D123" s="1706">
        <f>Zusatzeingaben!D123</f>
        <v>0</v>
      </c>
      <c r="E123" s="1706">
        <f>Zusatzeingaben!E123</f>
        <v>0</v>
      </c>
      <c r="F123" s="1706">
        <f>Zusatzeingaben!F123</f>
        <v>0</v>
      </c>
      <c r="G123" s="1706">
        <f>Zusatzeingaben!G123</f>
        <v>0</v>
      </c>
      <c r="H123" s="1706">
        <f>Zusatzeingaben!H123</f>
        <v>0</v>
      </c>
      <c r="I123" s="1706">
        <f>Zusatzeingaben!I123</f>
        <v>0</v>
      </c>
    </row>
    <row r="124" spans="1:64" ht="20.100000000000001" hidden="1" customHeight="1">
      <c r="A124" s="1710" t="s">
        <v>180</v>
      </c>
      <c r="B124" s="359"/>
      <c r="C124" s="501">
        <f t="shared" ref="C124:I124" si="31">C123*6</f>
        <v>0</v>
      </c>
      <c r="D124" s="501">
        <f t="shared" si="31"/>
        <v>0</v>
      </c>
      <c r="E124" s="501">
        <f t="shared" si="31"/>
        <v>0</v>
      </c>
      <c r="F124" s="501">
        <f t="shared" si="31"/>
        <v>0</v>
      </c>
      <c r="G124" s="501">
        <f t="shared" si="31"/>
        <v>0</v>
      </c>
      <c r="H124" s="501">
        <f t="shared" si="31"/>
        <v>0</v>
      </c>
      <c r="I124" s="502">
        <f t="shared" si="31"/>
        <v>0</v>
      </c>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row>
    <row r="125" spans="1:64" ht="20.100000000000001" customHeight="1">
      <c r="A125" s="503" t="s">
        <v>2345</v>
      </c>
      <c r="B125" s="445"/>
      <c r="C125" s="1876">
        <f>Zusatzeingaben!C125</f>
        <v>0</v>
      </c>
      <c r="D125" s="1876">
        <f>Zusatzeingaben!D125</f>
        <v>0</v>
      </c>
      <c r="E125" s="1876">
        <f>Zusatzeingaben!E125</f>
        <v>0</v>
      </c>
      <c r="F125" s="1876">
        <f>Zusatzeingaben!F125</f>
        <v>0</v>
      </c>
      <c r="G125" s="1876">
        <f>Zusatzeingaben!G125</f>
        <v>0</v>
      </c>
      <c r="H125" s="1876">
        <f>Zusatzeingaben!H125</f>
        <v>0</v>
      </c>
      <c r="I125" s="1876">
        <f>Zusatzeingaben!I125</f>
        <v>0</v>
      </c>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287"/>
      <c r="BJ125" s="287"/>
      <c r="BK125" s="287"/>
      <c r="BL125" s="287"/>
    </row>
    <row r="126" spans="1:64" ht="20.100000000000001" hidden="1" customHeight="1">
      <c r="A126" s="505" t="s">
        <v>181</v>
      </c>
      <c r="B126" s="506"/>
      <c r="C126" s="507">
        <f t="shared" ref="C126:I126" si="32">C122*C125*0.2</f>
        <v>0</v>
      </c>
      <c r="D126" s="507">
        <f t="shared" si="32"/>
        <v>0</v>
      </c>
      <c r="E126" s="507">
        <f t="shared" si="32"/>
        <v>0</v>
      </c>
      <c r="F126" s="507">
        <f t="shared" si="32"/>
        <v>0</v>
      </c>
      <c r="G126" s="507">
        <f t="shared" si="32"/>
        <v>0</v>
      </c>
      <c r="H126" s="507">
        <f t="shared" si="32"/>
        <v>0</v>
      </c>
      <c r="I126" s="508">
        <f t="shared" si="32"/>
        <v>0</v>
      </c>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row>
    <row r="127" spans="1:64" ht="20.100000000000001" hidden="1" customHeight="1">
      <c r="A127" s="405"/>
      <c r="B127" s="340"/>
      <c r="C127" s="509">
        <f t="shared" ref="C127:I127" si="33">MAX(C126,C142)</f>
        <v>0</v>
      </c>
      <c r="D127" s="509">
        <f t="shared" si="33"/>
        <v>0</v>
      </c>
      <c r="E127" s="509">
        <f t="shared" si="33"/>
        <v>0</v>
      </c>
      <c r="F127" s="509">
        <f t="shared" si="33"/>
        <v>0</v>
      </c>
      <c r="G127" s="509">
        <f t="shared" si="33"/>
        <v>0</v>
      </c>
      <c r="H127" s="509">
        <f t="shared" si="33"/>
        <v>0</v>
      </c>
      <c r="I127" s="509">
        <f t="shared" si="33"/>
        <v>0</v>
      </c>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row>
    <row r="128" spans="1:64" ht="20.100000000000001" customHeight="1">
      <c r="A128" s="511" t="s">
        <v>2167</v>
      </c>
      <c r="B128" s="541"/>
      <c r="C128" s="1715">
        <f>Zusatzeingaben!C128</f>
        <v>0</v>
      </c>
      <c r="D128" s="1715">
        <f>Zusatzeingaben!D128</f>
        <v>0</v>
      </c>
      <c r="E128" s="1715">
        <f>Zusatzeingaben!E128</f>
        <v>0</v>
      </c>
      <c r="F128" s="1715">
        <f>Zusatzeingaben!F128</f>
        <v>0</v>
      </c>
      <c r="G128" s="1715">
        <f>Zusatzeingaben!G128</f>
        <v>0</v>
      </c>
      <c r="H128" s="1715">
        <f>Zusatzeingaben!H128</f>
        <v>0</v>
      </c>
      <c r="I128" s="1715">
        <f>Zusatzeingaben!I128</f>
        <v>0</v>
      </c>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row>
    <row r="129" spans="1:64" ht="20.100000000000001" customHeight="1">
      <c r="A129" s="1717" t="s">
        <v>2346</v>
      </c>
      <c r="B129" s="359"/>
      <c r="C129" s="465">
        <f>Zusatzeingaben!C129</f>
        <v>0</v>
      </c>
      <c r="D129" s="465">
        <f>Zusatzeingaben!D129</f>
        <v>0</v>
      </c>
      <c r="E129" s="465">
        <f>Zusatzeingaben!E129</f>
        <v>0</v>
      </c>
      <c r="F129" s="465">
        <f>Zusatzeingaben!F129</f>
        <v>0</v>
      </c>
      <c r="G129" s="465">
        <f>Zusatzeingaben!G129</f>
        <v>0</v>
      </c>
      <c r="H129" s="465">
        <f>Zusatzeingaben!H129</f>
        <v>0</v>
      </c>
      <c r="I129" s="465">
        <f>Zusatzeingaben!I129</f>
        <v>0</v>
      </c>
    </row>
    <row r="130" spans="1:64" ht="20.100000000000001" customHeight="1">
      <c r="A130" s="1718" t="s">
        <v>2347</v>
      </c>
      <c r="B130" s="522"/>
      <c r="C130" s="522">
        <f t="shared" ref="C130:I130" si="34">IF(C129="vollverpflegung",C33*C122*0.01,IF(C129="frühstück",C33*C122*0.002,IF(C129="mittagessen",C33*C122*0.004,IF(C129="abendessen",C33*C122*0.004,0))))</f>
        <v>0</v>
      </c>
      <c r="D130" s="522">
        <f t="shared" si="34"/>
        <v>0</v>
      </c>
      <c r="E130" s="522">
        <f t="shared" si="34"/>
        <v>0</v>
      </c>
      <c r="F130" s="522">
        <f t="shared" si="34"/>
        <v>0</v>
      </c>
      <c r="G130" s="522">
        <f t="shared" si="34"/>
        <v>0</v>
      </c>
      <c r="H130" s="522">
        <f t="shared" si="34"/>
        <v>0</v>
      </c>
      <c r="I130" s="523">
        <f t="shared" si="34"/>
        <v>0</v>
      </c>
    </row>
    <row r="131" spans="1:64" ht="15.75" hidden="1">
      <c r="A131" s="521" t="s">
        <v>183</v>
      </c>
      <c r="B131" s="522"/>
      <c r="C131" s="522">
        <f t="shared" ref="C131:I131" si="35">C128+C130</f>
        <v>0</v>
      </c>
      <c r="D131" s="522">
        <f t="shared" si="35"/>
        <v>0</v>
      </c>
      <c r="E131" s="522">
        <f t="shared" si="35"/>
        <v>0</v>
      </c>
      <c r="F131" s="522">
        <f t="shared" si="35"/>
        <v>0</v>
      </c>
      <c r="G131" s="522">
        <f t="shared" si="35"/>
        <v>0</v>
      </c>
      <c r="H131" s="522">
        <f t="shared" si="35"/>
        <v>0</v>
      </c>
      <c r="I131" s="523">
        <f t="shared" si="35"/>
        <v>0</v>
      </c>
    </row>
    <row r="132" spans="1:64" ht="20.100000000000001" customHeight="1">
      <c r="A132" s="1711" t="s">
        <v>2321</v>
      </c>
      <c r="B132" s="359"/>
      <c r="C132" s="457">
        <f>Zusatzeingaben!C132</f>
        <v>0</v>
      </c>
      <c r="D132" s="457">
        <f>Zusatzeingaben!D132</f>
        <v>0</v>
      </c>
      <c r="E132" s="457">
        <f>Zusatzeingaben!E132</f>
        <v>0</v>
      </c>
      <c r="F132" s="457">
        <f>Zusatzeingaben!F132</f>
        <v>0</v>
      </c>
      <c r="G132" s="457">
        <f>Zusatzeingaben!G132</f>
        <v>0</v>
      </c>
      <c r="H132" s="457">
        <f>Zusatzeingaben!H132</f>
        <v>0</v>
      </c>
      <c r="I132" s="457">
        <f>Zusatzeingaben!I132</f>
        <v>0</v>
      </c>
    </row>
    <row r="133" spans="1:64" ht="16.5" customHeight="1">
      <c r="A133" s="525" t="s">
        <v>184</v>
      </c>
      <c r="B133" s="526"/>
      <c r="C133" s="527">
        <f t="shared" ref="C133:I133" si="36">C130+C132</f>
        <v>0</v>
      </c>
      <c r="D133" s="527">
        <f t="shared" si="36"/>
        <v>0</v>
      </c>
      <c r="E133" s="527">
        <f t="shared" si="36"/>
        <v>0</v>
      </c>
      <c r="F133" s="527">
        <f t="shared" si="36"/>
        <v>0</v>
      </c>
      <c r="G133" s="527">
        <f t="shared" si="36"/>
        <v>0</v>
      </c>
      <c r="H133" s="527">
        <f t="shared" si="36"/>
        <v>0</v>
      </c>
      <c r="I133" s="528">
        <f t="shared" si="36"/>
        <v>0</v>
      </c>
    </row>
    <row r="134" spans="1:64" ht="16.5" customHeight="1">
      <c r="A134" s="495" t="s">
        <v>185</v>
      </c>
      <c r="B134" s="359"/>
      <c r="C134" s="457">
        <f>einmaligesEK!C14</f>
        <v>0</v>
      </c>
      <c r="D134" s="457">
        <f>einmaligesEK!D14</f>
        <v>0</v>
      </c>
      <c r="E134" s="457">
        <f>einmaligesEK!E14</f>
        <v>0</v>
      </c>
      <c r="F134" s="457">
        <f>einmaligesEK!F14</f>
        <v>0</v>
      </c>
      <c r="G134" s="457">
        <f>einmaligesEK!G14</f>
        <v>0</v>
      </c>
      <c r="H134" s="457">
        <f>einmaligesEK!H14</f>
        <v>0</v>
      </c>
      <c r="I134" s="457">
        <f>einmaligesEK!I14</f>
        <v>0</v>
      </c>
    </row>
    <row r="135" spans="1:64" ht="17.25" customHeight="1">
      <c r="A135" s="530" t="s">
        <v>186</v>
      </c>
      <c r="B135" s="531"/>
      <c r="C135" s="457">
        <f>einmaligesEK!C15</f>
        <v>0</v>
      </c>
      <c r="D135" s="457">
        <f>einmaligesEK!D15</f>
        <v>0</v>
      </c>
      <c r="E135" s="457">
        <f>einmaligesEK!E15</f>
        <v>0</v>
      </c>
      <c r="F135" s="457">
        <f>einmaligesEK!F15</f>
        <v>0</v>
      </c>
      <c r="G135" s="457">
        <f>einmaligesEK!G15</f>
        <v>0</v>
      </c>
      <c r="H135" s="457">
        <f>einmaligesEK!H15</f>
        <v>0</v>
      </c>
      <c r="I135" s="457">
        <f>einmaligesEK!I15</f>
        <v>0</v>
      </c>
    </row>
    <row r="136" spans="1:64" ht="20.100000000000001" customHeight="1">
      <c r="A136" s="1719" t="s">
        <v>187</v>
      </c>
      <c r="B136" s="506"/>
      <c r="C136" s="1720">
        <f>Zusatzeingaben!C136</f>
        <v>0</v>
      </c>
      <c r="D136" s="1720">
        <f>Zusatzeingaben!D136</f>
        <v>0</v>
      </c>
      <c r="E136" s="1720">
        <f>Zusatzeingaben!E136</f>
        <v>0</v>
      </c>
      <c r="F136" s="1720">
        <f>Zusatzeingaben!F136</f>
        <v>0</v>
      </c>
      <c r="G136" s="1720">
        <f>Zusatzeingaben!G136</f>
        <v>0</v>
      </c>
      <c r="H136" s="1720">
        <f>Zusatzeingaben!H136</f>
        <v>0</v>
      </c>
      <c r="I136" s="1720">
        <f>Zusatzeingaben!I136</f>
        <v>0</v>
      </c>
    </row>
    <row r="137" spans="1:64" ht="20.100000000000001" customHeight="1">
      <c r="A137" s="530" t="s">
        <v>2348</v>
      </c>
      <c r="B137" s="445"/>
      <c r="C137" s="482">
        <f>Zusatzeingaben!C137</f>
        <v>0</v>
      </c>
      <c r="D137" s="482">
        <f>Zusatzeingaben!D137</f>
        <v>0</v>
      </c>
      <c r="E137" s="482">
        <f>Zusatzeingaben!E137</f>
        <v>0</v>
      </c>
      <c r="F137" s="482">
        <f>Zusatzeingaben!F137</f>
        <v>0</v>
      </c>
      <c r="G137" s="482">
        <f>Zusatzeingaben!G137</f>
        <v>0</v>
      </c>
      <c r="H137" s="482">
        <f>Zusatzeingaben!H137</f>
        <v>0</v>
      </c>
      <c r="I137" s="482">
        <f>Zusatzeingaben!I137</f>
        <v>0</v>
      </c>
    </row>
    <row r="138" spans="1:64" ht="20.100000000000001" customHeight="1">
      <c r="A138" s="1877" t="s">
        <v>188</v>
      </c>
      <c r="B138" s="541"/>
      <c r="C138" s="1715">
        <f>Zusatzeingaben!C138</f>
        <v>0</v>
      </c>
      <c r="D138" s="1715">
        <f>Zusatzeingaben!D138</f>
        <v>0</v>
      </c>
      <c r="E138" s="1715">
        <f>Zusatzeingaben!E138</f>
        <v>0</v>
      </c>
      <c r="F138" s="1715">
        <f>Zusatzeingaben!F138</f>
        <v>0</v>
      </c>
      <c r="G138" s="1715">
        <f>Zusatzeingaben!G138</f>
        <v>0</v>
      </c>
      <c r="H138" s="1715">
        <f>Zusatzeingaben!H138</f>
        <v>0</v>
      </c>
      <c r="I138" s="1715">
        <f>Zusatzeingaben!I138</f>
        <v>0</v>
      </c>
    </row>
    <row r="139" spans="1:64" ht="20.100000000000001" customHeight="1">
      <c r="A139" s="464" t="s">
        <v>189</v>
      </c>
      <c r="B139" s="359"/>
      <c r="C139" s="1715">
        <f>Zusatzeingaben!C139</f>
        <v>0</v>
      </c>
      <c r="D139" s="1715">
        <f>Zusatzeingaben!D139</f>
        <v>0</v>
      </c>
      <c r="E139" s="1715">
        <f>Zusatzeingaben!E139</f>
        <v>0</v>
      </c>
      <c r="F139" s="1715">
        <f>Zusatzeingaben!F139</f>
        <v>0</v>
      </c>
      <c r="G139" s="1715">
        <f>Zusatzeingaben!G139</f>
        <v>0</v>
      </c>
      <c r="H139" s="1715">
        <f>Zusatzeingaben!H139</f>
        <v>0</v>
      </c>
      <c r="I139" s="1715">
        <f>Zusatzeingaben!I139</f>
        <v>0</v>
      </c>
    </row>
    <row r="140" spans="1:64" ht="20.100000000000001" customHeight="1">
      <c r="A140" s="214" t="s">
        <v>190</v>
      </c>
      <c r="B140" s="359"/>
      <c r="C140" s="535">
        <f t="shared" ref="C140:I140" si="37">C131+C136+C139</f>
        <v>0</v>
      </c>
      <c r="D140" s="535">
        <f t="shared" si="37"/>
        <v>0</v>
      </c>
      <c r="E140" s="535">
        <f t="shared" si="37"/>
        <v>0</v>
      </c>
      <c r="F140" s="535">
        <f t="shared" si="37"/>
        <v>0</v>
      </c>
      <c r="G140" s="535">
        <f t="shared" si="37"/>
        <v>0</v>
      </c>
      <c r="H140" s="535">
        <f t="shared" si="37"/>
        <v>0</v>
      </c>
      <c r="I140" s="536">
        <f t="shared" si="37"/>
        <v>0</v>
      </c>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row>
    <row r="141" spans="1:64" ht="20.100000000000001" customHeight="1">
      <c r="A141" s="214" t="s">
        <v>191</v>
      </c>
      <c r="B141" s="359"/>
      <c r="C141" s="507">
        <f t="shared" ref="C141:I141" si="38">C133+C135+C137+C138+C139</f>
        <v>0</v>
      </c>
      <c r="D141" s="507">
        <f t="shared" si="38"/>
        <v>0</v>
      </c>
      <c r="E141" s="507">
        <f t="shared" si="38"/>
        <v>0</v>
      </c>
      <c r="F141" s="507">
        <f t="shared" si="38"/>
        <v>0</v>
      </c>
      <c r="G141" s="507">
        <f t="shared" si="38"/>
        <v>0</v>
      </c>
      <c r="H141" s="507">
        <f t="shared" si="38"/>
        <v>0</v>
      </c>
      <c r="I141" s="507">
        <f t="shared" si="38"/>
        <v>0</v>
      </c>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c r="BB141" s="287"/>
      <c r="BC141" s="287"/>
      <c r="BD141" s="287"/>
      <c r="BE141" s="287"/>
      <c r="BF141" s="287"/>
      <c r="BG141" s="287"/>
      <c r="BH141" s="287"/>
      <c r="BI141" s="287"/>
      <c r="BJ141" s="287"/>
      <c r="BK141" s="287"/>
      <c r="BL141" s="287"/>
    </row>
    <row r="142" spans="1:64" ht="20.100000000000001" customHeight="1">
      <c r="A142" s="464" t="s">
        <v>2421</v>
      </c>
      <c r="B142" s="359"/>
      <c r="C142" s="935">
        <f>Zusatzeingaben!C142</f>
        <v>0</v>
      </c>
      <c r="D142" s="935">
        <f>Zusatzeingaben!D142</f>
        <v>0</v>
      </c>
      <c r="E142" s="935">
        <f>Zusatzeingaben!E142</f>
        <v>0</v>
      </c>
      <c r="F142" s="935">
        <f>Zusatzeingaben!F142</f>
        <v>0</v>
      </c>
      <c r="G142" s="935">
        <f>Zusatzeingaben!G142</f>
        <v>0</v>
      </c>
      <c r="H142" s="935">
        <f>Zusatzeingaben!H142</f>
        <v>0</v>
      </c>
      <c r="I142" s="935">
        <f>Zusatzeingaben!I142</f>
        <v>0</v>
      </c>
    </row>
    <row r="143" spans="1:64" ht="20.100000000000001" customHeight="1">
      <c r="A143" s="1723" t="s">
        <v>2422</v>
      </c>
      <c r="B143" s="445"/>
      <c r="C143" s="935">
        <f>Zusatzeingaben!C143</f>
        <v>0</v>
      </c>
      <c r="D143" s="935">
        <f>Zusatzeingaben!D143</f>
        <v>0</v>
      </c>
      <c r="E143" s="935">
        <f>Zusatzeingaben!E143</f>
        <v>0</v>
      </c>
      <c r="F143" s="935">
        <f>Zusatzeingaben!F143</f>
        <v>0</v>
      </c>
      <c r="G143" s="935">
        <f>Zusatzeingaben!G143</f>
        <v>0</v>
      </c>
      <c r="H143" s="935">
        <f>Zusatzeingaben!H143</f>
        <v>0</v>
      </c>
      <c r="I143" s="935">
        <f>Zusatzeingaben!I143</f>
        <v>0</v>
      </c>
    </row>
    <row r="144" spans="1:64" ht="20.100000000000001" hidden="1" customHeight="1">
      <c r="A144" s="547" t="s">
        <v>192</v>
      </c>
      <c r="B144" s="548"/>
      <c r="C144" s="549">
        <f t="shared" ref="C144:I144" si="39">IF(C131&gt;400,C143,0)</f>
        <v>0</v>
      </c>
      <c r="D144" s="549">
        <f t="shared" si="39"/>
        <v>0</v>
      </c>
      <c r="E144" s="549">
        <f t="shared" si="39"/>
        <v>0</v>
      </c>
      <c r="F144" s="549">
        <f t="shared" si="39"/>
        <v>0</v>
      </c>
      <c r="G144" s="549">
        <f t="shared" si="39"/>
        <v>0</v>
      </c>
      <c r="H144" s="549">
        <f t="shared" si="39"/>
        <v>0</v>
      </c>
      <c r="I144" s="549">
        <f t="shared" si="39"/>
        <v>0</v>
      </c>
    </row>
    <row r="145" spans="1:64" ht="20.100000000000001" hidden="1" customHeight="1">
      <c r="A145" s="551"/>
      <c r="B145" s="552"/>
      <c r="C145" s="394">
        <f t="shared" ref="C145:I145" si="40">IF(C138&gt;200,C143,0)</f>
        <v>0</v>
      </c>
      <c r="D145" s="394">
        <f t="shared" si="40"/>
        <v>0</v>
      </c>
      <c r="E145" s="394">
        <f t="shared" si="40"/>
        <v>0</v>
      </c>
      <c r="F145" s="394">
        <f t="shared" si="40"/>
        <v>0</v>
      </c>
      <c r="G145" s="394">
        <f t="shared" si="40"/>
        <v>0</v>
      </c>
      <c r="H145" s="394">
        <f t="shared" si="40"/>
        <v>0</v>
      </c>
      <c r="I145" s="394">
        <f t="shared" si="40"/>
        <v>0</v>
      </c>
    </row>
    <row r="146" spans="1:64" ht="20.100000000000001" hidden="1" customHeight="1">
      <c r="A146" s="405"/>
      <c r="B146" s="552"/>
      <c r="C146" s="394">
        <f t="shared" ref="C146:I146" si="41">IF(C136&gt;100,C143,0)</f>
        <v>0</v>
      </c>
      <c r="D146" s="394">
        <f t="shared" si="41"/>
        <v>0</v>
      </c>
      <c r="E146" s="394">
        <f t="shared" si="41"/>
        <v>0</v>
      </c>
      <c r="F146" s="394">
        <f t="shared" si="41"/>
        <v>0</v>
      </c>
      <c r="G146" s="394">
        <f t="shared" si="41"/>
        <v>0</v>
      </c>
      <c r="H146" s="394">
        <f t="shared" si="41"/>
        <v>0</v>
      </c>
      <c r="I146" s="394">
        <f t="shared" si="41"/>
        <v>0</v>
      </c>
    </row>
    <row r="147" spans="1:64" ht="20.100000000000001" hidden="1" customHeight="1">
      <c r="A147" s="551"/>
      <c r="B147" s="552"/>
      <c r="C147" s="552">
        <f t="shared" ref="C147:I147" si="42">IF(C144&gt;0,C144,IF(C145&gt;0,C145,IF(C146&gt;0,C146,0)))</f>
        <v>0</v>
      </c>
      <c r="D147" s="552">
        <f t="shared" si="42"/>
        <v>0</v>
      </c>
      <c r="E147" s="552">
        <f t="shared" si="42"/>
        <v>0</v>
      </c>
      <c r="F147" s="552">
        <f t="shared" si="42"/>
        <v>0</v>
      </c>
      <c r="G147" s="552">
        <f t="shared" si="42"/>
        <v>0</v>
      </c>
      <c r="H147" s="552">
        <f t="shared" si="42"/>
        <v>0</v>
      </c>
      <c r="I147" s="552">
        <f t="shared" si="42"/>
        <v>0</v>
      </c>
    </row>
    <row r="148" spans="1:64" ht="20.100000000000001" hidden="1" customHeight="1">
      <c r="A148" s="551"/>
      <c r="B148" s="552"/>
      <c r="C148" s="554">
        <f t="shared" ref="C148:I148" si="43">IF(C160=0,0,C147)</f>
        <v>0</v>
      </c>
      <c r="D148" s="554">
        <f t="shared" si="43"/>
        <v>0</v>
      </c>
      <c r="E148" s="554">
        <f t="shared" si="43"/>
        <v>0</v>
      </c>
      <c r="F148" s="554">
        <f t="shared" si="43"/>
        <v>0</v>
      </c>
      <c r="G148" s="554">
        <f t="shared" si="43"/>
        <v>0</v>
      </c>
      <c r="H148" s="554">
        <f t="shared" si="43"/>
        <v>0</v>
      </c>
      <c r="I148" s="554">
        <f t="shared" si="43"/>
        <v>0</v>
      </c>
    </row>
    <row r="149" spans="1:64" ht="20.100000000000001" hidden="1" customHeight="1">
      <c r="A149" s="405"/>
      <c r="B149" s="552"/>
      <c r="C149" s="552"/>
      <c r="D149" s="552"/>
      <c r="E149" s="552"/>
      <c r="F149" s="552"/>
      <c r="G149" s="552"/>
      <c r="H149" s="552"/>
      <c r="I149" s="553"/>
    </row>
    <row r="150" spans="1:64" ht="20.100000000000001" hidden="1" customHeight="1">
      <c r="A150" s="555" t="s">
        <v>193</v>
      </c>
      <c r="B150" s="552"/>
      <c r="C150" s="556">
        <f t="shared" ref="C150:I150" si="44">IF(C195&gt;0,0,IF(C34="nein",0,IF(C131+C134+C139&gt;100,100,C131+C134+C139)))</f>
        <v>0</v>
      </c>
      <c r="D150" s="556">
        <f t="shared" si="44"/>
        <v>0</v>
      </c>
      <c r="E150" s="556">
        <f t="shared" si="44"/>
        <v>0</v>
      </c>
      <c r="F150" s="556">
        <f t="shared" si="44"/>
        <v>0</v>
      </c>
      <c r="G150" s="556">
        <f t="shared" si="44"/>
        <v>0</v>
      </c>
      <c r="H150" s="556">
        <f t="shared" si="44"/>
        <v>0</v>
      </c>
      <c r="I150" s="556">
        <f t="shared" si="44"/>
        <v>0</v>
      </c>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row>
    <row r="151" spans="1:64" ht="20.100000000000001" hidden="1" customHeight="1">
      <c r="A151" s="405"/>
      <c r="B151" s="552"/>
      <c r="C151" s="509">
        <f t="shared" ref="C151:I151" si="45">IF(AND(C131+C134+C139&gt;400,C150=100),C213,C150)</f>
        <v>0</v>
      </c>
      <c r="D151" s="509">
        <f t="shared" si="45"/>
        <v>0</v>
      </c>
      <c r="E151" s="509">
        <f t="shared" si="45"/>
        <v>0</v>
      </c>
      <c r="F151" s="509">
        <f t="shared" si="45"/>
        <v>0</v>
      </c>
      <c r="G151" s="509">
        <f t="shared" si="45"/>
        <v>0</v>
      </c>
      <c r="H151" s="509">
        <f t="shared" si="45"/>
        <v>0</v>
      </c>
      <c r="I151" s="509">
        <f t="shared" si="45"/>
        <v>0</v>
      </c>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c r="BD151" s="287"/>
      <c r="BE151" s="287"/>
      <c r="BF151" s="287"/>
      <c r="BG151" s="287"/>
      <c r="BH151" s="287"/>
      <c r="BI151" s="287"/>
      <c r="BJ151" s="287"/>
      <c r="BK151" s="287"/>
      <c r="BL151" s="287"/>
    </row>
    <row r="152" spans="1:64" ht="20.100000000000001" hidden="1" customHeight="1">
      <c r="A152" s="405"/>
      <c r="B152" s="552"/>
      <c r="C152" s="558">
        <f t="shared" ref="C152:I152" si="46">IF(C151&gt;C131+C134+C139,C131+C134+C139,C151)</f>
        <v>0</v>
      </c>
      <c r="D152" s="558">
        <f t="shared" si="46"/>
        <v>0</v>
      </c>
      <c r="E152" s="558">
        <f t="shared" si="46"/>
        <v>0</v>
      </c>
      <c r="F152" s="558">
        <f t="shared" si="46"/>
        <v>0</v>
      </c>
      <c r="G152" s="558">
        <f t="shared" si="46"/>
        <v>0</v>
      </c>
      <c r="H152" s="558">
        <f t="shared" si="46"/>
        <v>0</v>
      </c>
      <c r="I152" s="558">
        <f t="shared" si="46"/>
        <v>0</v>
      </c>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7"/>
    </row>
    <row r="153" spans="1:64" ht="20.100000000000001" hidden="1" customHeight="1">
      <c r="A153" s="560" t="s">
        <v>194</v>
      </c>
      <c r="B153" s="552"/>
      <c r="C153" s="561">
        <f t="shared" ref="C153:I153" si="47">IF(C136&gt;100,100,C136)</f>
        <v>0</v>
      </c>
      <c r="D153" s="561">
        <f t="shared" si="47"/>
        <v>0</v>
      </c>
      <c r="E153" s="561">
        <f t="shared" si="47"/>
        <v>0</v>
      </c>
      <c r="F153" s="561">
        <f t="shared" si="47"/>
        <v>0</v>
      </c>
      <c r="G153" s="561">
        <f t="shared" si="47"/>
        <v>0</v>
      </c>
      <c r="H153" s="561">
        <f t="shared" si="47"/>
        <v>0</v>
      </c>
      <c r="I153" s="562">
        <f t="shared" si="47"/>
        <v>0</v>
      </c>
      <c r="L153" s="563"/>
    </row>
    <row r="154" spans="1:64" ht="20.100000000000001" hidden="1" customHeight="1">
      <c r="A154" s="560"/>
      <c r="B154" s="552"/>
      <c r="C154" s="509">
        <f t="shared" ref="C154:I154" si="48">IF(C136&gt;100,C213,C153)</f>
        <v>0</v>
      </c>
      <c r="D154" s="509">
        <f t="shared" si="48"/>
        <v>0</v>
      </c>
      <c r="E154" s="509">
        <f t="shared" si="48"/>
        <v>0</v>
      </c>
      <c r="F154" s="509">
        <f t="shared" si="48"/>
        <v>0</v>
      </c>
      <c r="G154" s="509">
        <f t="shared" si="48"/>
        <v>0</v>
      </c>
      <c r="H154" s="509">
        <f t="shared" si="48"/>
        <v>0</v>
      </c>
      <c r="I154" s="510">
        <f t="shared" si="48"/>
        <v>0</v>
      </c>
      <c r="L154" s="563"/>
    </row>
    <row r="155" spans="1:64" ht="20.100000000000001" hidden="1" customHeight="1">
      <c r="A155" s="560"/>
      <c r="B155" s="552"/>
      <c r="C155" s="558">
        <f t="shared" ref="C155:I155" si="49">IF(C154&gt;C136,C136,C154)</f>
        <v>0</v>
      </c>
      <c r="D155" s="558">
        <f t="shared" si="49"/>
        <v>0</v>
      </c>
      <c r="E155" s="558">
        <f t="shared" si="49"/>
        <v>0</v>
      </c>
      <c r="F155" s="558">
        <f t="shared" si="49"/>
        <v>0</v>
      </c>
      <c r="G155" s="558">
        <f t="shared" si="49"/>
        <v>0</v>
      </c>
      <c r="H155" s="558">
        <f t="shared" si="49"/>
        <v>0</v>
      </c>
      <c r="I155" s="559">
        <f t="shared" si="49"/>
        <v>0</v>
      </c>
      <c r="L155" s="563"/>
    </row>
    <row r="156" spans="1:64" ht="20.100000000000001" hidden="1" customHeight="1">
      <c r="A156" s="560" t="s">
        <v>195</v>
      </c>
      <c r="B156" s="552"/>
      <c r="C156" s="561">
        <f t="shared" ref="C156:I156" si="50">IF(C138&gt;200,200,C138)</f>
        <v>0</v>
      </c>
      <c r="D156" s="561">
        <f t="shared" si="50"/>
        <v>0</v>
      </c>
      <c r="E156" s="561">
        <f t="shared" si="50"/>
        <v>0</v>
      </c>
      <c r="F156" s="561">
        <f t="shared" si="50"/>
        <v>0</v>
      </c>
      <c r="G156" s="561">
        <f t="shared" si="50"/>
        <v>0</v>
      </c>
      <c r="H156" s="561">
        <f t="shared" si="50"/>
        <v>0</v>
      </c>
      <c r="I156" s="562">
        <f t="shared" si="50"/>
        <v>0</v>
      </c>
    </row>
    <row r="157" spans="1:64" ht="20.100000000000001" hidden="1" customHeight="1">
      <c r="A157" s="405"/>
      <c r="B157" s="552"/>
      <c r="C157" s="509">
        <f t="shared" ref="C157:I157" si="51">IF(AND(C138&gt;200,C156=200),C214,C156)</f>
        <v>0</v>
      </c>
      <c r="D157" s="509">
        <f t="shared" si="51"/>
        <v>0</v>
      </c>
      <c r="E157" s="509">
        <f t="shared" si="51"/>
        <v>0</v>
      </c>
      <c r="F157" s="509">
        <f t="shared" si="51"/>
        <v>0</v>
      </c>
      <c r="G157" s="509">
        <f t="shared" si="51"/>
        <v>0</v>
      </c>
      <c r="H157" s="509">
        <f t="shared" si="51"/>
        <v>0</v>
      </c>
      <c r="I157" s="510">
        <f t="shared" si="51"/>
        <v>0</v>
      </c>
    </row>
    <row r="158" spans="1:64" ht="20.100000000000001" hidden="1" customHeight="1">
      <c r="A158" s="551"/>
      <c r="B158" s="552"/>
      <c r="C158" s="564">
        <f t="shared" ref="C158:I158" si="52">C157</f>
        <v>0</v>
      </c>
      <c r="D158" s="564">
        <f t="shared" si="52"/>
        <v>0</v>
      </c>
      <c r="E158" s="564">
        <f t="shared" si="52"/>
        <v>0</v>
      </c>
      <c r="F158" s="564">
        <f t="shared" si="52"/>
        <v>0</v>
      </c>
      <c r="G158" s="564">
        <f t="shared" si="52"/>
        <v>0</v>
      </c>
      <c r="H158" s="564">
        <f t="shared" si="52"/>
        <v>0</v>
      </c>
      <c r="I158" s="565">
        <f t="shared" si="52"/>
        <v>0</v>
      </c>
    </row>
    <row r="159" spans="1:64" ht="20.100000000000001" hidden="1" customHeight="1">
      <c r="A159" s="551"/>
      <c r="B159" s="552"/>
      <c r="C159" s="552">
        <f t="shared" ref="C159:I159" si="53">IF(C155&gt;C152,C155,C152)</f>
        <v>0</v>
      </c>
      <c r="D159" s="552">
        <f t="shared" si="53"/>
        <v>0</v>
      </c>
      <c r="E159" s="552">
        <f t="shared" si="53"/>
        <v>0</v>
      </c>
      <c r="F159" s="552">
        <f t="shared" si="53"/>
        <v>0</v>
      </c>
      <c r="G159" s="552">
        <f t="shared" si="53"/>
        <v>0</v>
      </c>
      <c r="H159" s="552">
        <f t="shared" si="53"/>
        <v>0</v>
      </c>
      <c r="I159" s="553">
        <f t="shared" si="53"/>
        <v>0</v>
      </c>
    </row>
    <row r="160" spans="1:64" ht="20.100000000000001" hidden="1" customHeight="1">
      <c r="A160" s="555" t="s">
        <v>196</v>
      </c>
      <c r="B160" s="552"/>
      <c r="C160" s="566">
        <f t="shared" ref="C160:I160" si="54">IF(AND(C132+C139&gt;0,C132+C139&lt;100,C136=0,C138=0),C132+C139,IF(AND(C131+C139&gt;400,C159&gt;100,C138&gt;0,C159&gt;200),C159,IF(AND(C131+C139&gt;400,C159&gt;100,C138&gt;0,C158+100&gt;C159),MIN(200,C158+100),IF(AND(C131+C139&gt;400,C159&gt;100,C138&gt;0,C158+100&lt;C159),C159,IF(AND(C138&gt;0,C158&lt;=200,C159&lt;=200),MIN(200,C158+C159),C159)))))</f>
        <v>0</v>
      </c>
      <c r="D160" s="566">
        <f t="shared" si="54"/>
        <v>0</v>
      </c>
      <c r="E160" s="566">
        <f t="shared" si="54"/>
        <v>0</v>
      </c>
      <c r="F160" s="566">
        <f t="shared" si="54"/>
        <v>0</v>
      </c>
      <c r="G160" s="566">
        <f t="shared" si="54"/>
        <v>0</v>
      </c>
      <c r="H160" s="566">
        <f t="shared" si="54"/>
        <v>0</v>
      </c>
      <c r="I160" s="566">
        <f t="shared" si="54"/>
        <v>0</v>
      </c>
    </row>
    <row r="161" spans="1:64" ht="20.100000000000001" hidden="1" customHeight="1">
      <c r="A161" s="551"/>
      <c r="B161" s="552"/>
      <c r="C161" s="552">
        <f t="shared" ref="C161:I161" si="55">IF(C195&gt;0,C160,IF(C34="nein",C160,IF(AND(C160&lt;100,C198&gt;0),C212,C160)))</f>
        <v>0</v>
      </c>
      <c r="D161" s="552">
        <f t="shared" si="55"/>
        <v>0</v>
      </c>
      <c r="E161" s="552">
        <f t="shared" si="55"/>
        <v>0</v>
      </c>
      <c r="F161" s="552">
        <f t="shared" si="55"/>
        <v>0</v>
      </c>
      <c r="G161" s="552">
        <f t="shared" si="55"/>
        <v>0</v>
      </c>
      <c r="H161" s="552">
        <f t="shared" si="55"/>
        <v>0</v>
      </c>
      <c r="I161" s="552">
        <f t="shared" si="55"/>
        <v>0</v>
      </c>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row>
    <row r="162" spans="1:64" ht="20.100000000000001" hidden="1" customHeight="1">
      <c r="A162" s="551"/>
      <c r="B162" s="552"/>
      <c r="C162" s="552">
        <f t="shared" ref="C162:I162" si="56">IF(C161&gt;C160,C160-C212,C160)</f>
        <v>0</v>
      </c>
      <c r="D162" s="552">
        <f t="shared" si="56"/>
        <v>0</v>
      </c>
      <c r="E162" s="552">
        <f t="shared" si="56"/>
        <v>0</v>
      </c>
      <c r="F162" s="552">
        <f t="shared" si="56"/>
        <v>0</v>
      </c>
      <c r="G162" s="552">
        <f t="shared" si="56"/>
        <v>0</v>
      </c>
      <c r="H162" s="552">
        <f t="shared" si="56"/>
        <v>0</v>
      </c>
      <c r="I162" s="552">
        <f t="shared" si="56"/>
        <v>0</v>
      </c>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c r="BB162" s="287"/>
      <c r="BC162" s="287"/>
      <c r="BD162" s="287"/>
      <c r="BE162" s="287"/>
      <c r="BF162" s="287"/>
      <c r="BG162" s="287"/>
      <c r="BH162" s="287"/>
      <c r="BI162" s="287"/>
      <c r="BJ162" s="287"/>
      <c r="BK162" s="287"/>
      <c r="BL162" s="287"/>
    </row>
    <row r="163" spans="1:64" ht="20.100000000000001" hidden="1" customHeight="1">
      <c r="A163" s="567"/>
      <c r="B163" s="568"/>
      <c r="C163" s="569">
        <f t="shared" ref="C163:I163" si="57">IF(C162&lt;0,C162*-1,C162)</f>
        <v>0</v>
      </c>
      <c r="D163" s="569">
        <f t="shared" si="57"/>
        <v>0</v>
      </c>
      <c r="E163" s="569">
        <f t="shared" si="57"/>
        <v>0</v>
      </c>
      <c r="F163" s="569">
        <f t="shared" si="57"/>
        <v>0</v>
      </c>
      <c r="G163" s="569">
        <f t="shared" si="57"/>
        <v>0</v>
      </c>
      <c r="H163" s="569">
        <f t="shared" si="57"/>
        <v>0</v>
      </c>
      <c r="I163" s="570">
        <f t="shared" si="57"/>
        <v>0</v>
      </c>
    </row>
    <row r="164" spans="1:64" ht="20.100000000000001" customHeight="1">
      <c r="A164" s="571" t="s">
        <v>2350</v>
      </c>
      <c r="B164" s="541"/>
      <c r="C164" s="1715">
        <f>Zusatzeingaben!C165</f>
        <v>0</v>
      </c>
      <c r="D164" s="1715">
        <f>Zusatzeingaben!D165</f>
        <v>0</v>
      </c>
      <c r="E164" s="1715">
        <f>Zusatzeingaben!E165</f>
        <v>0</v>
      </c>
      <c r="F164" s="1715">
        <f>Zusatzeingaben!F165</f>
        <v>0</v>
      </c>
      <c r="G164" s="1715">
        <f>Zusatzeingaben!G165</f>
        <v>0</v>
      </c>
      <c r="H164" s="1715">
        <f>Zusatzeingaben!H165</f>
        <v>0</v>
      </c>
      <c r="I164" s="1715">
        <f>Zusatzeingaben!I165</f>
        <v>0</v>
      </c>
    </row>
    <row r="165" spans="1:64" ht="20.100000000000001" customHeight="1">
      <c r="A165" s="1728" t="s">
        <v>2351</v>
      </c>
      <c r="B165" s="359"/>
      <c r="C165" s="1715">
        <f>Zusatzeingaben!C166</f>
        <v>0</v>
      </c>
      <c r="D165" s="1715">
        <f>Zusatzeingaben!D166</f>
        <v>0</v>
      </c>
      <c r="E165" s="1715">
        <f>Zusatzeingaben!E166</f>
        <v>0</v>
      </c>
      <c r="F165" s="1715">
        <f>Zusatzeingaben!F166</f>
        <v>0</v>
      </c>
      <c r="G165" s="1715">
        <f>Zusatzeingaben!G166</f>
        <v>0</v>
      </c>
      <c r="H165" s="1715">
        <f>Zusatzeingaben!H166</f>
        <v>0</v>
      </c>
      <c r="I165" s="1715">
        <f>Zusatzeingaben!I166</f>
        <v>0</v>
      </c>
    </row>
    <row r="166" spans="1:64" ht="20.100000000000001" customHeight="1">
      <c r="A166" s="1728" t="s">
        <v>2352</v>
      </c>
      <c r="B166" s="359"/>
      <c r="C166" s="1715">
        <f>Zusatzeingaben!C167</f>
        <v>0</v>
      </c>
      <c r="D166" s="1715">
        <f>Zusatzeingaben!D167</f>
        <v>0</v>
      </c>
      <c r="E166" s="1715">
        <f>Zusatzeingaben!E167</f>
        <v>0</v>
      </c>
      <c r="F166" s="1715">
        <f>Zusatzeingaben!F167</f>
        <v>0</v>
      </c>
      <c r="G166" s="1715">
        <f>Zusatzeingaben!G167</f>
        <v>0</v>
      </c>
      <c r="H166" s="1715">
        <f>Zusatzeingaben!H167</f>
        <v>0</v>
      </c>
      <c r="I166" s="1715">
        <f>Zusatzeingaben!I167</f>
        <v>0</v>
      </c>
    </row>
    <row r="167" spans="1:64" ht="20.100000000000001" customHeight="1">
      <c r="A167" s="1731" t="s">
        <v>2347</v>
      </c>
      <c r="B167" s="359"/>
      <c r="C167" s="522">
        <f>IF(C165="vollverpflegung",C23*C166*0.01,IF(C165="frühstück",C23*C166*0.002,IF(C165="mittagessen",C23*C166*0.004,IF(C165="abendessen",C23*C166*0.004,0))))</f>
        <v>0</v>
      </c>
      <c r="D167" s="338">
        <f>IF(D165="vollverpflegung",D23*D166*0.01,IF(D165="frühstück",D23*D166*0.002,IF(D165="mittagessen",D23*D166*0.004,IF(D165="abendessen",D23*D166*0.004,0))))</f>
        <v>0</v>
      </c>
      <c r="E167" s="338">
        <f>IF(E165="vollverpflegung",E31*E166*0.01,IF(E165="frühstück",E31*E166*0.002,IF(E165="mittagessen",E31*E166*0.004,IF(E165="abendessen",E31*E166*0.004,0))))</f>
        <v>0</v>
      </c>
      <c r="F167" s="338">
        <f>IF(F165="vollverpflegung",F31*F166*0.01,IF(F165="frühstück",F31*F166*0.002,IF(F165="mittagessen",F31*F166*0.004,IF(F165="abendessen",F31*F166*0.004,0))))</f>
        <v>0</v>
      </c>
      <c r="G167" s="338">
        <f>IF(G165="vollverpflegung",G31*G166*0.01,IF(G165="frühstück",G31*G166*0.002,IF(G165="mittagessen",G31*G166*0.004,IF(G165="abendessen",G31*G166*0.004,0))))</f>
        <v>0</v>
      </c>
      <c r="H167" s="338">
        <f>IF(H165="vollverpflegung",H31*H166*0.01,IF(H165="frühstück",H31*H166*0.002,IF(H165="mittagessen",H31*H166*0.004,IF(H165="abendessen",H31*H166*0.004,0))))</f>
        <v>0</v>
      </c>
      <c r="I167" s="339">
        <f>IF(I165="vollverpflegung",I31*I166*0.01,IF(I165="frühstück",I31*I166*0.002,IF(I165="mittagessen",I31*I166*0.004,IF(I165="abendessen",I31*I166*0.004,0))))</f>
        <v>0</v>
      </c>
    </row>
    <row r="168" spans="1:64" ht="20.100000000000001" hidden="1" customHeight="1">
      <c r="A168" s="1732" t="s">
        <v>198</v>
      </c>
      <c r="B168" s="359"/>
      <c r="C168" s="338">
        <f t="shared" ref="C168:I168" si="58">C164+C167</f>
        <v>0</v>
      </c>
      <c r="D168" s="338">
        <f t="shared" si="58"/>
        <v>0</v>
      </c>
      <c r="E168" s="338">
        <f t="shared" si="58"/>
        <v>0</v>
      </c>
      <c r="F168" s="338">
        <f t="shared" si="58"/>
        <v>0</v>
      </c>
      <c r="G168" s="338">
        <f t="shared" si="58"/>
        <v>0</v>
      </c>
      <c r="H168" s="338">
        <f t="shared" si="58"/>
        <v>0</v>
      </c>
      <c r="I168" s="338">
        <f t="shared" si="58"/>
        <v>0</v>
      </c>
    </row>
    <row r="169" spans="1:64" ht="20.100000000000001" hidden="1" customHeight="1">
      <c r="A169" s="551"/>
      <c r="B169" s="552"/>
      <c r="C169" s="552">
        <f t="shared" ref="C169:I169" si="59">IF(C164&gt;200,200,C164)</f>
        <v>0</v>
      </c>
      <c r="D169" s="552">
        <f t="shared" si="59"/>
        <v>0</v>
      </c>
      <c r="E169" s="552">
        <f t="shared" si="59"/>
        <v>0</v>
      </c>
      <c r="F169" s="552">
        <f t="shared" si="59"/>
        <v>0</v>
      </c>
      <c r="G169" s="552">
        <f t="shared" si="59"/>
        <v>0</v>
      </c>
      <c r="H169" s="552">
        <f t="shared" si="59"/>
        <v>0</v>
      </c>
      <c r="I169" s="552">
        <f t="shared" si="59"/>
        <v>0</v>
      </c>
    </row>
    <row r="170" spans="1:64" ht="20.100000000000001" hidden="1" customHeight="1">
      <c r="A170" s="551"/>
      <c r="B170" s="552"/>
      <c r="C170" s="552">
        <f t="shared" ref="C170:I170" si="60">IF(C160=200,0,IF(AND(C160&gt;1,C160&lt;200),C169-C160,C169))</f>
        <v>0</v>
      </c>
      <c r="D170" s="552">
        <f t="shared" si="60"/>
        <v>0</v>
      </c>
      <c r="E170" s="552">
        <f t="shared" si="60"/>
        <v>0</v>
      </c>
      <c r="F170" s="552">
        <f t="shared" si="60"/>
        <v>0</v>
      </c>
      <c r="G170" s="552">
        <f t="shared" si="60"/>
        <v>0</v>
      </c>
      <c r="H170" s="552">
        <f t="shared" si="60"/>
        <v>0</v>
      </c>
      <c r="I170" s="552">
        <f t="shared" si="60"/>
        <v>0</v>
      </c>
    </row>
    <row r="171" spans="1:64" ht="20.100000000000001" hidden="1" customHeight="1">
      <c r="A171" s="581" t="s">
        <v>199</v>
      </c>
      <c r="B171" s="582"/>
      <c r="C171" s="1734">
        <f t="shared" ref="C171:I171" si="61">IF(C170&lt;0,0,C170)</f>
        <v>0</v>
      </c>
      <c r="D171" s="1734">
        <f t="shared" si="61"/>
        <v>0</v>
      </c>
      <c r="E171" s="1734">
        <f t="shared" si="61"/>
        <v>0</v>
      </c>
      <c r="F171" s="1734">
        <f t="shared" si="61"/>
        <v>0</v>
      </c>
      <c r="G171" s="1734">
        <f t="shared" si="61"/>
        <v>0</v>
      </c>
      <c r="H171" s="1734">
        <f t="shared" si="61"/>
        <v>0</v>
      </c>
      <c r="I171" s="1734">
        <f t="shared" si="61"/>
        <v>0</v>
      </c>
    </row>
    <row r="172" spans="1:64" ht="20.100000000000001" customHeight="1">
      <c r="A172" s="1735" t="s">
        <v>97</v>
      </c>
      <c r="B172" s="541"/>
      <c r="C172" s="1715">
        <f>Zusatzeingaben!C174</f>
        <v>0</v>
      </c>
      <c r="D172" s="1715">
        <f>Zusatzeingaben!D174</f>
        <v>0</v>
      </c>
      <c r="E172" s="1736"/>
      <c r="F172" s="1736"/>
      <c r="G172" s="1736"/>
      <c r="H172" s="1736"/>
      <c r="I172" s="1737"/>
    </row>
    <row r="173" spans="1:64" ht="20.100000000000001" customHeight="1">
      <c r="A173" s="1738" t="s">
        <v>2353</v>
      </c>
      <c r="B173" s="359"/>
      <c r="C173" s="1715">
        <f>Zusatzeingaben!C175</f>
        <v>0</v>
      </c>
      <c r="D173" s="1715">
        <f>Zusatzeingaben!D175</f>
        <v>0</v>
      </c>
      <c r="E173" s="338"/>
      <c r="F173" s="338"/>
      <c r="G173" s="338"/>
      <c r="H173" s="338"/>
      <c r="I173" s="339"/>
    </row>
    <row r="174" spans="1:64" ht="20.100000000000001" customHeight="1">
      <c r="A174" s="1739" t="s">
        <v>2354</v>
      </c>
      <c r="B174" s="445"/>
      <c r="C174" s="1715" t="str">
        <f>Zusatzeingaben!C176</f>
        <v>Nein</v>
      </c>
      <c r="D174" s="1715" t="str">
        <f>Zusatzeingaben!D176</f>
        <v>Nein</v>
      </c>
      <c r="E174" s="1701"/>
      <c r="F174" s="1701"/>
      <c r="G174" s="1701"/>
      <c r="H174" s="1701"/>
      <c r="I174" s="1702"/>
    </row>
    <row r="175" spans="1:64" ht="20.100000000000001" hidden="1" customHeight="1">
      <c r="A175" s="590"/>
      <c r="B175" s="526"/>
      <c r="C175" s="591">
        <f>IF(C173&gt;300,300,C173)</f>
        <v>0</v>
      </c>
      <c r="D175" s="591">
        <f>IF(D173&gt;300,300,D173)</f>
        <v>0</v>
      </c>
      <c r="E175" s="527"/>
      <c r="F175" s="527"/>
      <c r="G175" s="527"/>
      <c r="H175" s="527"/>
      <c r="I175" s="528"/>
    </row>
    <row r="176" spans="1:64" ht="20.100000000000001" hidden="1" customHeight="1">
      <c r="A176" s="590"/>
      <c r="B176" s="526"/>
      <c r="C176" s="591">
        <f t="shared" ref="C176:I176" si="62">IF(C174="ja",MIN(150,C173/2),C175)</f>
        <v>0</v>
      </c>
      <c r="D176" s="591">
        <f t="shared" si="62"/>
        <v>0</v>
      </c>
      <c r="E176" s="591">
        <f t="shared" si="62"/>
        <v>0</v>
      </c>
      <c r="F176" s="591">
        <f t="shared" si="62"/>
        <v>0</v>
      </c>
      <c r="G176" s="591">
        <f t="shared" si="62"/>
        <v>0</v>
      </c>
      <c r="H176" s="591">
        <f t="shared" si="62"/>
        <v>0</v>
      </c>
      <c r="I176" s="591">
        <f t="shared" si="62"/>
        <v>0</v>
      </c>
    </row>
    <row r="177" spans="1:64" ht="20.100000000000001" hidden="1" customHeight="1">
      <c r="A177" s="525" t="s">
        <v>200</v>
      </c>
      <c r="B177" s="526"/>
      <c r="C177" s="591">
        <f>IF(C176&lt;C175,C176,C175)</f>
        <v>0</v>
      </c>
      <c r="D177" s="591">
        <f>IF(D176&lt;D175,D176,D175)</f>
        <v>0</v>
      </c>
      <c r="E177" s="527"/>
      <c r="F177" s="527"/>
      <c r="G177" s="527"/>
      <c r="H177" s="527"/>
      <c r="I177" s="528"/>
    </row>
    <row r="178" spans="1:64" ht="20.100000000000001" customHeight="1">
      <c r="A178" s="1740" t="s">
        <v>2423</v>
      </c>
      <c r="B178" s="541"/>
      <c r="C178" s="1715">
        <f>Zusatzeingaben!C180</f>
        <v>0</v>
      </c>
      <c r="D178" s="1715">
        <f>Zusatzeingaben!D180</f>
        <v>0</v>
      </c>
      <c r="E178" s="1715">
        <f>Zusatzeingaben!E180</f>
        <v>0</v>
      </c>
      <c r="F178" s="1715">
        <f>Zusatzeingaben!F180</f>
        <v>0</v>
      </c>
      <c r="G178" s="1736"/>
      <c r="H178" s="1736"/>
      <c r="I178" s="1737"/>
    </row>
    <row r="179" spans="1:64" ht="20.100000000000001" customHeight="1">
      <c r="A179" s="1741" t="s">
        <v>2355</v>
      </c>
      <c r="B179" s="359"/>
      <c r="C179" s="1715">
        <f>Zusatzeingaben!C181</f>
        <v>0</v>
      </c>
      <c r="D179" s="1715">
        <f>Zusatzeingaben!D181</f>
        <v>0</v>
      </c>
      <c r="E179" s="1715">
        <f>Zusatzeingaben!E181</f>
        <v>0</v>
      </c>
      <c r="F179" s="1715">
        <f>Zusatzeingaben!F181</f>
        <v>0</v>
      </c>
      <c r="G179" s="338"/>
      <c r="H179" s="338"/>
      <c r="I179" s="339"/>
    </row>
    <row r="180" spans="1:64" ht="20.100000000000001" customHeight="1">
      <c r="A180" s="1741" t="s">
        <v>2356</v>
      </c>
      <c r="B180" s="359"/>
      <c r="C180" s="1715">
        <f>Zusatzeingaben!C182</f>
        <v>0</v>
      </c>
      <c r="D180" s="1715">
        <f>Zusatzeingaben!D182</f>
        <v>0</v>
      </c>
      <c r="E180" s="1715">
        <f>Zusatzeingaben!E182</f>
        <v>0</v>
      </c>
      <c r="F180" s="1715">
        <f>Zusatzeingaben!F182</f>
        <v>0</v>
      </c>
      <c r="G180" s="338"/>
      <c r="H180" s="338"/>
      <c r="I180" s="339"/>
    </row>
    <row r="181" spans="1:64" ht="20.100000000000001" hidden="1" customHeight="1">
      <c r="A181" s="303"/>
      <c r="B181" s="359"/>
      <c r="C181" s="433">
        <f>C179*C180*0.2</f>
        <v>0</v>
      </c>
      <c r="D181" s="433">
        <f>D179*D180*0.2</f>
        <v>0</v>
      </c>
      <c r="E181" s="433">
        <f>E179*E180*0.2</f>
        <v>0</v>
      </c>
      <c r="F181" s="433">
        <f>F179*F180*0.2</f>
        <v>0</v>
      </c>
      <c r="G181" s="338"/>
      <c r="H181" s="338"/>
      <c r="I181" s="339"/>
    </row>
    <row r="182" spans="1:64" ht="20.100000000000001" customHeight="1">
      <c r="A182" s="1741" t="s">
        <v>2357</v>
      </c>
      <c r="B182" s="359"/>
      <c r="C182" s="457">
        <f>Zusatzeingaben!C184</f>
        <v>0</v>
      </c>
      <c r="D182" s="457">
        <f>Zusatzeingaben!D184</f>
        <v>0</v>
      </c>
      <c r="E182" s="457">
        <f>Zusatzeingaben!E184</f>
        <v>0</v>
      </c>
      <c r="F182" s="457">
        <f>Zusatzeingaben!F184</f>
        <v>0</v>
      </c>
      <c r="G182" s="338"/>
      <c r="H182" s="338"/>
      <c r="I182" s="339"/>
    </row>
    <row r="183" spans="1:64" ht="20.100000000000001" hidden="1" customHeight="1">
      <c r="A183" s="590"/>
      <c r="B183" s="526"/>
      <c r="C183" s="527">
        <f>MAX(C181,C182)</f>
        <v>0</v>
      </c>
      <c r="D183" s="527">
        <f>MAX(D181,D182)</f>
        <v>0</v>
      </c>
      <c r="E183" s="527">
        <f>MAX(E181,E182)</f>
        <v>0</v>
      </c>
      <c r="F183" s="527">
        <f>MAX(F181,F182)</f>
        <v>0</v>
      </c>
      <c r="G183" s="595"/>
      <c r="H183" s="595"/>
      <c r="I183" s="596"/>
    </row>
    <row r="184" spans="1:64" ht="20.100000000000001" customHeight="1">
      <c r="A184" s="1741" t="s">
        <v>2358</v>
      </c>
      <c r="B184" s="526"/>
      <c r="C184" s="457">
        <f>Zusatzeingaben!C186</f>
        <v>0</v>
      </c>
      <c r="D184" s="457">
        <f>Zusatzeingaben!D186</f>
        <v>0</v>
      </c>
      <c r="E184" s="457">
        <f>Zusatzeingaben!E186</f>
        <v>0</v>
      </c>
      <c r="F184" s="457">
        <f>Zusatzeingaben!F186</f>
        <v>0</v>
      </c>
      <c r="G184" s="595"/>
      <c r="H184" s="595"/>
      <c r="I184" s="596"/>
    </row>
    <row r="185" spans="1:64" ht="20.100000000000001" hidden="1" customHeight="1">
      <c r="A185" s="600"/>
      <c r="B185" s="526"/>
      <c r="C185" s="535">
        <f>MIN(C178,100)</f>
        <v>0</v>
      </c>
      <c r="D185" s="535">
        <f>MIN(D178,100)</f>
        <v>0</v>
      </c>
      <c r="E185" s="535">
        <f>MIN(E178,100)</f>
        <v>0</v>
      </c>
      <c r="F185" s="535">
        <f>MIN(F178,100)</f>
        <v>0</v>
      </c>
      <c r="G185" s="595"/>
      <c r="H185" s="595"/>
      <c r="I185" s="596"/>
    </row>
    <row r="186" spans="1:64" ht="20.100000000000001" hidden="1" customHeight="1">
      <c r="A186" s="600"/>
      <c r="B186" s="526"/>
      <c r="C186" s="535">
        <f>IF(AND(C160&gt;0,C160&lt;=100),MIN(100-C160,C185),IF(C158&gt;100,0,C185))</f>
        <v>0</v>
      </c>
      <c r="D186" s="535">
        <f>IF(AND(D160&gt;0,D160&lt;=100),MIN(100-D160,D185),IF(D158&gt;100,0,D185))</f>
        <v>0</v>
      </c>
      <c r="E186" s="535">
        <f>IF(AND(E160&gt;0,E160&lt;=100),MIN(100-E160,E185),IF(E158&gt;100,0,E185))</f>
        <v>0</v>
      </c>
      <c r="F186" s="535">
        <f>IF(AND(F160&gt;0,F160&lt;=100),MIN(100-F160,F185),IF(F158&gt;100,0,F185))</f>
        <v>0</v>
      </c>
      <c r="G186" s="595"/>
      <c r="H186" s="595"/>
      <c r="I186" s="596"/>
    </row>
    <row r="187" spans="1:64" ht="20.100000000000001" hidden="1" customHeight="1">
      <c r="A187" s="505" t="s">
        <v>202</v>
      </c>
      <c r="B187" s="526"/>
      <c r="C187" s="535">
        <f>IF(OR(C160&gt;100,C178=0),0,C186)</f>
        <v>0</v>
      </c>
      <c r="D187" s="535">
        <f>IF(OR(D160&gt;100,D178=0),0,D186)</f>
        <v>0</v>
      </c>
      <c r="E187" s="535">
        <f>IF(OR(E160&gt;100,E178=0),0,E186)</f>
        <v>0</v>
      </c>
      <c r="F187" s="535">
        <f>IF(OR(F160&gt;100,F178=0),0,F186)</f>
        <v>0</v>
      </c>
      <c r="G187" s="595"/>
      <c r="H187" s="595"/>
      <c r="I187" s="596"/>
    </row>
    <row r="188" spans="1:64" ht="20.100000000000001" hidden="1" customHeight="1">
      <c r="A188" s="505" t="s">
        <v>203</v>
      </c>
      <c r="B188" s="526"/>
      <c r="C188" s="535">
        <f>IF(C183+C184&gt;C187,MIN(C178,C183+C184),IF(AND(C172+C178+C190+C193+C194+C195+C196+C197&gt;0,C189&gt;C187),C183+C184,0))</f>
        <v>0</v>
      </c>
      <c r="D188" s="535">
        <f>IF(D183+D184&gt;D187,MIN(D178,D183+D184),IF(AND(D172+D178+D190+D193+D194+D195+D196+D197&gt;0,D189&gt;D187),D183+D184,0))</f>
        <v>0</v>
      </c>
      <c r="E188" s="535">
        <f>IF(E183+E184&gt;E187,MIN(E178,E183+E184),IF(AND(E172+E178+E190+E193+E194+E195+E196+E197&gt;0,E189&gt;E187),E183+E184,0))</f>
        <v>0</v>
      </c>
      <c r="F188" s="535">
        <f>IF(F183+F184&gt;F187,MIN(F178,F183+F184),IF(AND(F172+F178+F190+F193+F194+F195+F196+F197&gt;0,F189&gt;F187),F183+F184,0))</f>
        <v>0</v>
      </c>
      <c r="G188" s="595"/>
      <c r="H188" s="595"/>
      <c r="I188" s="596"/>
    </row>
    <row r="189" spans="1:64" ht="20.100000000000001" hidden="1" customHeight="1">
      <c r="A189" s="600"/>
      <c r="B189" s="526"/>
      <c r="C189" s="535">
        <f>IF(AND(C178&gt;0,C183+C184+C211&gt;100),C183+C184+C211,0)</f>
        <v>0</v>
      </c>
      <c r="D189" s="535">
        <f>IF(AND(D178&gt;0,D183+D184+D211&gt;100),D183+D184+D211,0)</f>
        <v>0</v>
      </c>
      <c r="E189" s="535">
        <f>IF(AND(E178&gt;0,E183+E184+E211&gt;100),E183+E184+E211,0)</f>
        <v>0</v>
      </c>
      <c r="F189" s="535">
        <f>IF(AND(F178&gt;0,F183+F184+F211&gt;100),F183+F184+F211,0)</f>
        <v>0</v>
      </c>
      <c r="G189" s="595"/>
      <c r="H189" s="595"/>
      <c r="I189" s="596"/>
    </row>
    <row r="190" spans="1:64" ht="20.100000000000001" customHeight="1">
      <c r="A190" s="601" t="s">
        <v>204</v>
      </c>
      <c r="B190" s="541"/>
      <c r="C190" s="1715">
        <f>Zusatzeingaben!C192</f>
        <v>0</v>
      </c>
      <c r="D190" s="1715">
        <f>Zusatzeingaben!D192</f>
        <v>0</v>
      </c>
      <c r="E190" s="1715">
        <f>Zusatzeingaben!E192</f>
        <v>0</v>
      </c>
      <c r="F190" s="1715">
        <f>Zusatzeingaben!F192</f>
        <v>0</v>
      </c>
      <c r="G190" s="1715">
        <f>Zusatzeingaben!G192</f>
        <v>0</v>
      </c>
      <c r="H190" s="1715">
        <f>Zusatzeingaben!H192</f>
        <v>0</v>
      </c>
      <c r="I190" s="1715">
        <f>Zusatzeingaben!I192</f>
        <v>0</v>
      </c>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7"/>
      <c r="AY190" s="287"/>
      <c r="AZ190" s="287"/>
      <c r="BA190" s="287"/>
      <c r="BB190" s="287"/>
      <c r="BC190" s="287"/>
      <c r="BD190" s="287"/>
      <c r="BE190" s="287"/>
      <c r="BF190" s="287"/>
      <c r="BG190" s="287"/>
      <c r="BH190" s="287"/>
      <c r="BI190" s="287"/>
      <c r="BJ190" s="287"/>
      <c r="BK190" s="287"/>
      <c r="BL190" s="287"/>
    </row>
    <row r="191" spans="1:64" ht="20.100000000000001" customHeight="1">
      <c r="A191" s="605" t="s">
        <v>87</v>
      </c>
      <c r="B191" s="606"/>
      <c r="C191" s="1715">
        <f>Zusatzeingaben!C193</f>
        <v>0</v>
      </c>
      <c r="D191" s="1715">
        <f>Zusatzeingaben!D193</f>
        <v>0</v>
      </c>
      <c r="E191" s="1715">
        <f>Zusatzeingaben!E193</f>
        <v>0</v>
      </c>
      <c r="F191" s="1715">
        <f>Zusatzeingaben!F193</f>
        <v>0</v>
      </c>
      <c r="G191" s="1715">
        <f>Zusatzeingaben!G193</f>
        <v>0</v>
      </c>
      <c r="H191" s="1715">
        <f>Zusatzeingaben!H193</f>
        <v>0</v>
      </c>
      <c r="I191" s="1715">
        <f>Zusatzeingaben!I193</f>
        <v>0</v>
      </c>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287"/>
      <c r="BJ191" s="287"/>
      <c r="BK191" s="287"/>
      <c r="BL191" s="287"/>
    </row>
    <row r="192" spans="1:64" ht="20.100000000000001" customHeight="1">
      <c r="A192" s="102" t="s">
        <v>205</v>
      </c>
      <c r="B192" s="359"/>
      <c r="C192" s="1715"/>
      <c r="D192" s="1715"/>
      <c r="E192" s="1715">
        <f>Zusatzeingaben!E194</f>
        <v>0</v>
      </c>
      <c r="F192" s="1715">
        <f>Zusatzeingaben!F194</f>
        <v>0</v>
      </c>
      <c r="G192" s="1715">
        <f>Zusatzeingaben!G194</f>
        <v>0</v>
      </c>
      <c r="H192" s="1715">
        <f>Zusatzeingaben!H194</f>
        <v>0</v>
      </c>
      <c r="I192" s="1715">
        <f>Zusatzeingaben!I194</f>
        <v>0</v>
      </c>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c r="AH192" s="287"/>
      <c r="AI192" s="287"/>
      <c r="AJ192" s="287"/>
      <c r="AK192" s="287"/>
      <c r="AL192" s="287"/>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287"/>
      <c r="BJ192" s="287"/>
      <c r="BK192" s="287"/>
      <c r="BL192" s="287"/>
    </row>
    <row r="193" spans="1:64" ht="20.100000000000001" hidden="1" customHeight="1">
      <c r="A193" s="401"/>
      <c r="B193" s="506"/>
      <c r="C193" s="462">
        <f>C191</f>
        <v>0</v>
      </c>
      <c r="D193" s="462">
        <f>D191</f>
        <v>0</v>
      </c>
      <c r="E193" s="462">
        <f>E191+E192</f>
        <v>0</v>
      </c>
      <c r="F193" s="462">
        <f>F191+F192</f>
        <v>0</v>
      </c>
      <c r="G193" s="462">
        <f>G191+G192</f>
        <v>0</v>
      </c>
      <c r="H193" s="462">
        <f>H191+H192</f>
        <v>0</v>
      </c>
      <c r="I193" s="365">
        <f>I191+I192</f>
        <v>0</v>
      </c>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row>
    <row r="194" spans="1:64" ht="20.100000000000001" customHeight="1">
      <c r="A194" s="611" t="s">
        <v>206</v>
      </c>
      <c r="B194" s="506"/>
      <c r="C194" s="1720">
        <f>Zusatzeingaben!C196</f>
        <v>0</v>
      </c>
      <c r="D194" s="1720">
        <f>Zusatzeingaben!D196</f>
        <v>0</v>
      </c>
      <c r="E194" s="1720">
        <f>Zusatzeingaben!E196</f>
        <v>0</v>
      </c>
      <c r="F194" s="1720">
        <f>Zusatzeingaben!F196</f>
        <v>0</v>
      </c>
      <c r="G194" s="1720">
        <f>Zusatzeingaben!G196</f>
        <v>0</v>
      </c>
      <c r="H194" s="1720">
        <f>Zusatzeingaben!H196</f>
        <v>0</v>
      </c>
      <c r="I194" s="1720">
        <f>Zusatzeingaben!I196</f>
        <v>0</v>
      </c>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287"/>
      <c r="AJ194" s="287"/>
      <c r="AK194" s="287"/>
      <c r="AL194" s="287"/>
      <c r="AM194" s="287"/>
      <c r="AN194" s="287"/>
      <c r="AO194" s="287"/>
      <c r="AP194" s="287"/>
      <c r="AQ194" s="287"/>
      <c r="AR194" s="287"/>
      <c r="AS194" s="287"/>
      <c r="AT194" s="287"/>
      <c r="AU194" s="287"/>
      <c r="AV194" s="287"/>
      <c r="AW194" s="287"/>
      <c r="AX194" s="287"/>
      <c r="AY194" s="287"/>
      <c r="AZ194" s="287"/>
      <c r="BA194" s="287"/>
      <c r="BB194" s="287"/>
      <c r="BC194" s="287"/>
      <c r="BD194" s="287"/>
      <c r="BE194" s="287"/>
      <c r="BF194" s="287"/>
      <c r="BG194" s="287"/>
      <c r="BH194" s="287"/>
      <c r="BI194" s="287"/>
      <c r="BJ194" s="287"/>
      <c r="BK194" s="287"/>
      <c r="BL194" s="287"/>
    </row>
    <row r="195" spans="1:64" ht="20.100000000000001" customHeight="1">
      <c r="A195" s="600" t="s">
        <v>92</v>
      </c>
      <c r="B195" s="506"/>
      <c r="C195" s="1720">
        <f>Zusatzeingaben!C197</f>
        <v>0</v>
      </c>
      <c r="D195" s="1720">
        <f>Zusatzeingaben!D197</f>
        <v>0</v>
      </c>
      <c r="E195" s="462"/>
      <c r="F195" s="462"/>
      <c r="G195" s="462"/>
      <c r="H195" s="462"/>
      <c r="I195" s="365"/>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7"/>
      <c r="AN195" s="287"/>
      <c r="AO195" s="287"/>
      <c r="AP195" s="287"/>
      <c r="AQ195" s="287"/>
      <c r="AR195" s="287"/>
      <c r="AS195" s="287"/>
      <c r="AT195" s="287"/>
      <c r="AU195" s="287"/>
      <c r="AV195" s="287"/>
      <c r="AW195" s="287"/>
      <c r="AX195" s="287"/>
      <c r="AY195" s="287"/>
      <c r="AZ195" s="287"/>
      <c r="BA195" s="287"/>
      <c r="BB195" s="287"/>
      <c r="BC195" s="287"/>
      <c r="BD195" s="287"/>
      <c r="BE195" s="287"/>
      <c r="BF195" s="287"/>
      <c r="BG195" s="287"/>
      <c r="BH195" s="287"/>
      <c r="BI195" s="287"/>
      <c r="BJ195" s="287"/>
      <c r="BK195" s="287"/>
      <c r="BL195" s="287"/>
    </row>
    <row r="196" spans="1:64" ht="20.100000000000001" customHeight="1">
      <c r="A196" s="464" t="s">
        <v>207</v>
      </c>
      <c r="B196" s="359"/>
      <c r="C196" s="1720">
        <f>Zusatzeingaben!C198</f>
        <v>0</v>
      </c>
      <c r="D196" s="1720">
        <f>Zusatzeingaben!D198</f>
        <v>0</v>
      </c>
      <c r="E196" s="1720">
        <f>Zusatzeingaben!E198</f>
        <v>0</v>
      </c>
      <c r="F196" s="1720">
        <f>Zusatzeingaben!F198</f>
        <v>0</v>
      </c>
      <c r="G196" s="1720">
        <f>Zusatzeingaben!G198</f>
        <v>0</v>
      </c>
      <c r="H196" s="1720">
        <f>Zusatzeingaben!H198</f>
        <v>0</v>
      </c>
      <c r="I196" s="1720">
        <f>Zusatzeingaben!I198</f>
        <v>0</v>
      </c>
      <c r="J196" s="287"/>
      <c r="K196" s="287"/>
      <c r="L196" s="287"/>
      <c r="M196" s="287"/>
      <c r="N196" s="287"/>
      <c r="O196" s="287"/>
      <c r="P196" s="287"/>
      <c r="Q196" s="287"/>
      <c r="R196" s="287"/>
      <c r="S196" s="287"/>
      <c r="T196" s="287"/>
      <c r="U196" s="287"/>
      <c r="V196" s="287"/>
      <c r="W196" s="287"/>
      <c r="X196" s="287"/>
      <c r="Y196" s="287"/>
      <c r="Z196" s="287"/>
      <c r="AA196" s="287"/>
      <c r="AB196" s="287"/>
      <c r="AC196" s="287"/>
      <c r="AD196" s="287"/>
      <c r="AE196" s="287"/>
      <c r="AF196" s="287"/>
      <c r="AG196" s="287"/>
      <c r="AH196" s="287"/>
      <c r="AI196" s="287"/>
      <c r="AJ196" s="287"/>
      <c r="AK196" s="287"/>
      <c r="AL196" s="287"/>
      <c r="AM196" s="287"/>
      <c r="AN196" s="287"/>
      <c r="AO196" s="287"/>
      <c r="AP196" s="287"/>
      <c r="AQ196" s="287"/>
      <c r="AR196" s="287"/>
      <c r="AS196" s="287"/>
      <c r="AT196" s="287"/>
      <c r="AU196" s="287"/>
      <c r="AV196" s="287"/>
      <c r="AW196" s="287"/>
      <c r="AX196" s="287"/>
      <c r="AY196" s="287"/>
      <c r="AZ196" s="287"/>
      <c r="BA196" s="287"/>
      <c r="BB196" s="287"/>
      <c r="BC196" s="287"/>
      <c r="BD196" s="287"/>
      <c r="BE196" s="287"/>
      <c r="BF196" s="287"/>
      <c r="BG196" s="287"/>
      <c r="BH196" s="287"/>
      <c r="BI196" s="287"/>
      <c r="BJ196" s="287"/>
      <c r="BK196" s="287"/>
      <c r="BL196" s="287"/>
    </row>
    <row r="197" spans="1:64" ht="20.100000000000001" customHeight="1">
      <c r="A197" s="481" t="s">
        <v>207</v>
      </c>
      <c r="B197" s="445"/>
      <c r="C197" s="1720">
        <f>Zusatzeingaben!C199</f>
        <v>0</v>
      </c>
      <c r="D197" s="1720">
        <f>Zusatzeingaben!D199</f>
        <v>0</v>
      </c>
      <c r="E197" s="1720">
        <f>Zusatzeingaben!E199</f>
        <v>0</v>
      </c>
      <c r="F197" s="1720">
        <f>Zusatzeingaben!F199</f>
        <v>0</v>
      </c>
      <c r="G197" s="1720">
        <f>Zusatzeingaben!G199</f>
        <v>0</v>
      </c>
      <c r="H197" s="1720">
        <f>Zusatzeingaben!H199</f>
        <v>0</v>
      </c>
      <c r="I197" s="1720">
        <f>Zusatzeingaben!I199</f>
        <v>0</v>
      </c>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287"/>
      <c r="AJ197" s="287"/>
      <c r="AK197" s="287"/>
      <c r="AL197" s="287"/>
      <c r="AM197" s="287"/>
      <c r="AN197" s="287"/>
      <c r="AO197" s="287"/>
      <c r="AP197" s="287"/>
      <c r="AQ197" s="287"/>
      <c r="AR197" s="287"/>
      <c r="AS197" s="287"/>
      <c r="AT197" s="287"/>
      <c r="AU197" s="287"/>
      <c r="AV197" s="287"/>
      <c r="AW197" s="287"/>
      <c r="AX197" s="287"/>
      <c r="AY197" s="287"/>
      <c r="AZ197" s="287"/>
      <c r="BA197" s="287"/>
      <c r="BB197" s="287"/>
      <c r="BC197" s="287"/>
      <c r="BD197" s="287"/>
      <c r="BE197" s="287"/>
      <c r="BF197" s="287"/>
      <c r="BG197" s="287"/>
      <c r="BH197" s="287"/>
      <c r="BI197" s="287"/>
      <c r="BJ197" s="287"/>
      <c r="BK197" s="287"/>
      <c r="BL197" s="287"/>
    </row>
    <row r="198" spans="1:64" ht="20.100000000000001" customHeight="1">
      <c r="A198" s="613"/>
      <c r="B198" s="526"/>
      <c r="C198" s="527">
        <f t="shared" ref="C198:I198" si="63">C172+C178+C190+C193+C194+C195+C196+C197+C223</f>
        <v>0</v>
      </c>
      <c r="D198" s="527">
        <f t="shared" si="63"/>
        <v>0</v>
      </c>
      <c r="E198" s="527">
        <f t="shared" si="63"/>
        <v>0</v>
      </c>
      <c r="F198" s="527">
        <f t="shared" si="63"/>
        <v>0</v>
      </c>
      <c r="G198" s="527">
        <f t="shared" si="63"/>
        <v>0</v>
      </c>
      <c r="H198" s="527">
        <f t="shared" si="63"/>
        <v>0</v>
      </c>
      <c r="I198" s="527">
        <f t="shared" si="63"/>
        <v>0</v>
      </c>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c r="AH198" s="287"/>
      <c r="AI198" s="287"/>
      <c r="AJ198" s="287"/>
      <c r="AK198" s="287"/>
      <c r="AL198" s="287"/>
      <c r="AM198" s="287"/>
      <c r="AN198" s="287"/>
      <c r="AO198" s="287"/>
      <c r="AP198" s="287"/>
      <c r="AQ198" s="287"/>
      <c r="AR198" s="287"/>
      <c r="AS198" s="287"/>
      <c r="AT198" s="287"/>
      <c r="AU198" s="287"/>
      <c r="AV198" s="287"/>
      <c r="AW198" s="287"/>
      <c r="AX198" s="287"/>
      <c r="AY198" s="287"/>
      <c r="AZ198" s="287"/>
      <c r="BA198" s="287"/>
      <c r="BB198" s="287"/>
      <c r="BC198" s="287"/>
      <c r="BD198" s="287"/>
      <c r="BE198" s="287"/>
      <c r="BF198" s="287"/>
      <c r="BG198" s="287"/>
      <c r="BH198" s="287"/>
      <c r="BI198" s="287"/>
      <c r="BJ198" s="287"/>
      <c r="BK198" s="287"/>
      <c r="BL198" s="287"/>
    </row>
    <row r="199" spans="1:64" ht="21" customHeight="1">
      <c r="A199" s="614" t="s">
        <v>208</v>
      </c>
      <c r="B199" s="341"/>
      <c r="C199" s="341">
        <f t="shared" ref="C199:I199" si="64">C190+C193+C194+C195+C196+C197+C223+C141+C172+C178</f>
        <v>0</v>
      </c>
      <c r="D199" s="341">
        <f t="shared" si="64"/>
        <v>0</v>
      </c>
      <c r="E199" s="341">
        <f t="shared" si="64"/>
        <v>0</v>
      </c>
      <c r="F199" s="341">
        <f t="shared" si="64"/>
        <v>0</v>
      </c>
      <c r="G199" s="341">
        <f t="shared" si="64"/>
        <v>0</v>
      </c>
      <c r="H199" s="341">
        <f t="shared" si="64"/>
        <v>0</v>
      </c>
      <c r="I199" s="341">
        <f t="shared" si="64"/>
        <v>0</v>
      </c>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287"/>
      <c r="AJ199" s="287"/>
      <c r="AK199" s="287"/>
      <c r="AL199" s="287"/>
      <c r="AM199" s="287"/>
      <c r="AN199" s="287"/>
      <c r="AO199" s="287"/>
      <c r="AP199" s="287"/>
      <c r="AQ199" s="287"/>
      <c r="AR199" s="287"/>
      <c r="AS199" s="287"/>
      <c r="AT199" s="287"/>
      <c r="AU199" s="287"/>
      <c r="AV199" s="287"/>
      <c r="AW199" s="287"/>
      <c r="AX199" s="287"/>
      <c r="AY199" s="287"/>
      <c r="AZ199" s="287"/>
      <c r="BA199" s="287"/>
      <c r="BB199" s="287"/>
      <c r="BC199" s="287"/>
      <c r="BD199" s="287"/>
      <c r="BE199" s="287"/>
      <c r="BF199" s="287"/>
      <c r="BG199" s="287"/>
      <c r="BH199" s="287"/>
      <c r="BI199" s="287"/>
      <c r="BJ199" s="287"/>
      <c r="BK199" s="287"/>
      <c r="BL199" s="287"/>
    </row>
    <row r="200" spans="1:64" ht="22.15" customHeight="1">
      <c r="A200" s="615" t="s">
        <v>209</v>
      </c>
      <c r="B200" s="616" t="s">
        <v>141</v>
      </c>
      <c r="C200" s="616" t="str">
        <f t="shared" ref="C200:I200" si="65">C4</f>
        <v>Antragsteller</v>
      </c>
      <c r="D200" s="616" t="str">
        <f t="shared" si="65"/>
        <v>Partner(in)</v>
      </c>
      <c r="E200" s="616" t="str">
        <f t="shared" si="65"/>
        <v>Kind 1</v>
      </c>
      <c r="F200" s="616" t="str">
        <f t="shared" si="65"/>
        <v>Kind 2</v>
      </c>
      <c r="G200" s="616" t="str">
        <f t="shared" si="65"/>
        <v>Kind 3</v>
      </c>
      <c r="H200" s="616" t="str">
        <f t="shared" si="65"/>
        <v>Kind 4</v>
      </c>
      <c r="I200" s="617" t="str">
        <f t="shared" si="65"/>
        <v>Kind 5</v>
      </c>
      <c r="J200" s="287"/>
      <c r="K200" s="287"/>
      <c r="L200" s="287"/>
      <c r="M200" s="287"/>
      <c r="N200" s="287"/>
      <c r="O200" s="287"/>
      <c r="P200" s="287"/>
      <c r="Q200" s="287"/>
      <c r="R200" s="287"/>
      <c r="S200" s="287"/>
      <c r="T200" s="287"/>
      <c r="U200" s="287"/>
      <c r="V200" s="287"/>
      <c r="W200" s="287"/>
      <c r="X200" s="287"/>
      <c r="Y200" s="287"/>
      <c r="Z200" s="287"/>
      <c r="AA200" s="287"/>
      <c r="AB200" s="287"/>
      <c r="AC200" s="287"/>
      <c r="AD200" s="287"/>
      <c r="AE200" s="287"/>
      <c r="AF200" s="287"/>
      <c r="AG200" s="287"/>
      <c r="AH200" s="287"/>
      <c r="AI200" s="287"/>
      <c r="AJ200" s="287"/>
      <c r="AK200" s="287"/>
      <c r="AL200" s="287"/>
      <c r="AM200" s="287"/>
      <c r="AN200" s="287"/>
      <c r="AO200" s="287"/>
      <c r="AP200" s="287"/>
      <c r="AQ200" s="287"/>
      <c r="AR200" s="287"/>
      <c r="AS200" s="287"/>
      <c r="AT200" s="287"/>
      <c r="AU200" s="287"/>
      <c r="AV200" s="287"/>
      <c r="AW200" s="287"/>
      <c r="AX200" s="287"/>
      <c r="AY200" s="287"/>
      <c r="AZ200" s="287"/>
      <c r="BA200" s="287"/>
      <c r="BB200" s="287"/>
      <c r="BC200" s="287"/>
      <c r="BD200" s="287"/>
      <c r="BE200" s="287"/>
      <c r="BF200" s="287"/>
      <c r="BG200" s="287"/>
      <c r="BH200" s="287"/>
      <c r="BI200" s="287"/>
      <c r="BJ200" s="287"/>
      <c r="BK200" s="287"/>
      <c r="BL200" s="287"/>
    </row>
    <row r="201" spans="1:64" ht="20.100000000000001" customHeight="1">
      <c r="A201" s="303" t="s">
        <v>2359</v>
      </c>
      <c r="B201" s="359"/>
      <c r="C201" s="522">
        <f>IF(AND(C22&gt;17,C199&gt;0),30,0)</f>
        <v>0</v>
      </c>
      <c r="D201" s="522">
        <f>IF(AND(D22&gt;17,D199&gt;0),30,0)</f>
        <v>0</v>
      </c>
      <c r="E201" s="522">
        <f>IF(AND(E18&gt;17,E18&lt;113,E199&gt;0),30,0)</f>
        <v>0</v>
      </c>
      <c r="F201" s="522">
        <f>IF(AND(F18&gt;17,F18&lt;113,F199&gt;0),30,0)</f>
        <v>0</v>
      </c>
      <c r="G201" s="522">
        <f>IF(AND(G18&gt;17,G18&lt;113,G199&gt;0),30,0)</f>
        <v>0</v>
      </c>
      <c r="H201" s="522">
        <f>IF(AND(H18&gt;17,H18&lt;113,H199&gt;0),30,0)</f>
        <v>0</v>
      </c>
      <c r="I201" s="523">
        <f>IF(AND(I18&gt;17,I18&lt;113,I199&gt;0),30,0)</f>
        <v>0</v>
      </c>
      <c r="J201" s="287"/>
      <c r="K201" s="287"/>
      <c r="L201" s="287"/>
      <c r="M201" s="287"/>
      <c r="N201" s="287"/>
      <c r="O201" s="287"/>
      <c r="P201" s="287"/>
      <c r="Q201" s="287"/>
      <c r="R201" s="287"/>
      <c r="S201" s="287"/>
      <c r="T201" s="287"/>
      <c r="U201" s="287"/>
      <c r="V201" s="287"/>
      <c r="W201" s="287"/>
      <c r="X201" s="287"/>
      <c r="Y201" s="287"/>
      <c r="Z201" s="287"/>
      <c r="AA201" s="287"/>
      <c r="AB201" s="287"/>
      <c r="AC201" s="287"/>
      <c r="AD201" s="287"/>
      <c r="AE201" s="287"/>
      <c r="AF201" s="287"/>
      <c r="AG201" s="287"/>
      <c r="AH201" s="287"/>
      <c r="AI201" s="287"/>
      <c r="AJ201" s="287"/>
      <c r="AK201" s="287"/>
      <c r="AL201" s="287"/>
      <c r="AM201" s="287"/>
      <c r="AN201" s="287"/>
      <c r="AO201" s="287"/>
      <c r="AP201" s="287"/>
      <c r="AQ201" s="287"/>
      <c r="AR201" s="287"/>
      <c r="AS201" s="287"/>
      <c r="AT201" s="287"/>
      <c r="AU201" s="287"/>
      <c r="AV201" s="287"/>
      <c r="AW201" s="287"/>
      <c r="AX201" s="287"/>
      <c r="AY201" s="287"/>
      <c r="AZ201" s="287"/>
      <c r="BA201" s="287"/>
      <c r="BB201" s="287"/>
      <c r="BC201" s="287"/>
      <c r="BD201" s="287"/>
      <c r="BE201" s="287"/>
      <c r="BF201" s="287"/>
      <c r="BG201" s="287"/>
      <c r="BH201" s="287"/>
      <c r="BI201" s="287"/>
      <c r="BJ201" s="287"/>
      <c r="BK201" s="287"/>
      <c r="BL201" s="287"/>
    </row>
    <row r="202" spans="1:64" ht="20.100000000000001" customHeight="1">
      <c r="A202" s="303" t="s">
        <v>211</v>
      </c>
      <c r="B202" s="359"/>
      <c r="C202" s="457">
        <f>Zusatzeingaben!C204</f>
        <v>0</v>
      </c>
      <c r="D202" s="457">
        <f>Zusatzeingaben!D204</f>
        <v>0</v>
      </c>
      <c r="E202" s="457">
        <f>Zusatzeingaben!E204</f>
        <v>0</v>
      </c>
      <c r="F202" s="457">
        <f>Zusatzeingaben!F204</f>
        <v>0</v>
      </c>
      <c r="G202" s="457">
        <f>Zusatzeingaben!G204</f>
        <v>0</v>
      </c>
      <c r="H202" s="457">
        <f>Zusatzeingaben!H204</f>
        <v>0</v>
      </c>
      <c r="I202" s="457">
        <f>Zusatzeingaben!I204</f>
        <v>0</v>
      </c>
      <c r="J202" s="287"/>
      <c r="K202" s="287"/>
      <c r="L202" s="287"/>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c r="AH202" s="287"/>
      <c r="AI202" s="287"/>
      <c r="AJ202" s="287"/>
      <c r="AK202" s="287"/>
      <c r="AL202" s="287"/>
      <c r="AM202" s="287"/>
      <c r="AN202" s="287"/>
      <c r="AO202" s="287"/>
      <c r="AP202" s="287"/>
      <c r="AQ202" s="287"/>
      <c r="AR202" s="287"/>
      <c r="AS202" s="287"/>
      <c r="AT202" s="287"/>
      <c r="AU202" s="287"/>
      <c r="AV202" s="287"/>
      <c r="AW202" s="287"/>
      <c r="AX202" s="287"/>
      <c r="AY202" s="287"/>
      <c r="AZ202" s="287"/>
      <c r="BA202" s="287"/>
      <c r="BB202" s="287"/>
      <c r="BC202" s="287"/>
      <c r="BD202" s="287"/>
      <c r="BE202" s="287"/>
      <c r="BF202" s="287"/>
      <c r="BG202" s="287"/>
      <c r="BH202" s="287"/>
      <c r="BI202" s="287"/>
      <c r="BJ202" s="287"/>
      <c r="BK202" s="287"/>
      <c r="BL202" s="287"/>
    </row>
    <row r="203" spans="1:64" ht="20.100000000000001" customHeight="1">
      <c r="A203" s="323" t="s">
        <v>2424</v>
      </c>
      <c r="B203" s="606"/>
      <c r="C203" s="457">
        <f>Zusatzeingaben!C205</f>
        <v>0</v>
      </c>
      <c r="D203" s="457">
        <f>Zusatzeingaben!D205</f>
        <v>0</v>
      </c>
      <c r="E203" s="457">
        <f>Zusatzeingaben!E205</f>
        <v>0</v>
      </c>
      <c r="F203" s="457">
        <f>Zusatzeingaben!F205</f>
        <v>0</v>
      </c>
      <c r="G203" s="457">
        <f>Zusatzeingaben!G205</f>
        <v>0</v>
      </c>
      <c r="H203" s="457">
        <f>Zusatzeingaben!H205</f>
        <v>0</v>
      </c>
      <c r="I203" s="457">
        <f>Zusatzeingaben!I205</f>
        <v>0</v>
      </c>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c r="AV203" s="287"/>
      <c r="AW203" s="287"/>
      <c r="AX203" s="287"/>
      <c r="AY203" s="287"/>
      <c r="AZ203" s="287"/>
      <c r="BA203" s="287"/>
      <c r="BB203" s="287"/>
      <c r="BC203" s="287"/>
      <c r="BD203" s="287"/>
      <c r="BE203" s="287"/>
      <c r="BF203" s="287"/>
      <c r="BG203" s="287"/>
      <c r="BH203" s="287"/>
      <c r="BI203" s="287"/>
      <c r="BJ203" s="287"/>
      <c r="BK203" s="287"/>
      <c r="BL203" s="287"/>
    </row>
    <row r="204" spans="1:64" ht="20.100000000000001" customHeight="1">
      <c r="A204" s="625" t="s">
        <v>2360</v>
      </c>
      <c r="B204" s="541"/>
      <c r="C204" s="1736"/>
      <c r="D204" s="1736"/>
      <c r="E204" s="1736"/>
      <c r="F204" s="1736"/>
      <c r="G204" s="1736"/>
      <c r="H204" s="1736"/>
      <c r="I204" s="1737"/>
    </row>
    <row r="205" spans="1:64" ht="20.100000000000001" customHeight="1">
      <c r="A205" s="628" t="s">
        <v>2361</v>
      </c>
      <c r="B205" s="506"/>
      <c r="C205" s="1671">
        <f>Zusatzeingaben!C208</f>
        <v>0</v>
      </c>
      <c r="D205" s="1671">
        <f>Zusatzeingaben!D208</f>
        <v>0</v>
      </c>
      <c r="E205" s="1671">
        <f>Zusatzeingaben!E208</f>
        <v>0</v>
      </c>
      <c r="F205" s="1671">
        <f>Zusatzeingaben!F208</f>
        <v>0</v>
      </c>
      <c r="G205" s="462"/>
      <c r="H205" s="462"/>
      <c r="I205" s="365"/>
    </row>
    <row r="206" spans="1:64" ht="20.100000000000001" customHeight="1">
      <c r="A206" s="1747" t="s">
        <v>2362</v>
      </c>
      <c r="B206" s="359"/>
      <c r="C206" s="457">
        <f>Zusatzeingaben!C209</f>
        <v>0</v>
      </c>
      <c r="D206" s="457">
        <f>Zusatzeingaben!D209</f>
        <v>0</v>
      </c>
      <c r="E206" s="457">
        <f>Zusatzeingaben!E209</f>
        <v>0</v>
      </c>
      <c r="F206" s="457">
        <f>Zusatzeingaben!F209</f>
        <v>0</v>
      </c>
      <c r="G206" s="338"/>
      <c r="H206" s="338"/>
      <c r="I206" s="339"/>
    </row>
    <row r="207" spans="1:64" ht="20.100000000000001" customHeight="1">
      <c r="A207" s="1747" t="s">
        <v>2363</v>
      </c>
      <c r="B207" s="359"/>
      <c r="C207" s="457">
        <f>Zusatzeingaben!C210</f>
        <v>0</v>
      </c>
      <c r="D207" s="457">
        <f>Zusatzeingaben!D210</f>
        <v>0</v>
      </c>
      <c r="E207" s="385"/>
      <c r="F207" s="385"/>
      <c r="G207" s="385"/>
      <c r="H207" s="385"/>
      <c r="I207" s="386"/>
    </row>
    <row r="208" spans="1:64" ht="15.75" hidden="1">
      <c r="A208" s="590"/>
      <c r="B208" s="526"/>
      <c r="C208" s="634">
        <f>IF(C207=1,C206*0.015,IF(C207&gt;1,5,C206*0.03))</f>
        <v>0</v>
      </c>
      <c r="D208" s="634">
        <f>IF(D207=1,D206*0.015,IF(D207&gt;1,5,D206*0.03))</f>
        <v>0</v>
      </c>
      <c r="E208" s="634">
        <f>E206*0.03</f>
        <v>0</v>
      </c>
      <c r="F208" s="634">
        <f>F206*0.03</f>
        <v>0</v>
      </c>
      <c r="G208" s="634"/>
      <c r="H208" s="634"/>
      <c r="I208" s="635"/>
    </row>
    <row r="209" spans="1:64" ht="15.75" hidden="1">
      <c r="A209" s="400"/>
      <c r="B209" s="636"/>
      <c r="C209" s="637">
        <f>IF(C208&lt;5,5,C208)</f>
        <v>5</v>
      </c>
      <c r="D209" s="637">
        <f>IF(D208&lt;5,5,D208)</f>
        <v>5</v>
      </c>
      <c r="E209" s="637">
        <f>IF(E208&lt;5,5,E208)</f>
        <v>5</v>
      </c>
      <c r="F209" s="637">
        <f>IF(F208&lt;5,5,F208)</f>
        <v>5</v>
      </c>
      <c r="G209" s="637"/>
      <c r="H209" s="637"/>
      <c r="I209" s="638"/>
    </row>
    <row r="210" spans="1:64" ht="15.75" hidden="1">
      <c r="A210" s="400"/>
      <c r="B210" s="636"/>
      <c r="C210" s="637">
        <f>IF(C205=1,C209,0)</f>
        <v>0</v>
      </c>
      <c r="D210" s="637">
        <f>IF(D205=1,D209,0)</f>
        <v>0</v>
      </c>
      <c r="E210" s="637">
        <f>IF(E205=1,E209,0)</f>
        <v>0</v>
      </c>
      <c r="F210" s="637">
        <f>IF(F205=1,F209,0)</f>
        <v>0</v>
      </c>
      <c r="G210" s="637"/>
      <c r="H210" s="637"/>
      <c r="I210" s="638"/>
    </row>
    <row r="211" spans="1:64" ht="15.75" hidden="1">
      <c r="A211" s="639" t="s">
        <v>214</v>
      </c>
      <c r="B211" s="640"/>
      <c r="C211" s="641">
        <f t="shared" ref="C211:I211" si="66">C201+C202+C203+C210</f>
        <v>0</v>
      </c>
      <c r="D211" s="641">
        <f t="shared" si="66"/>
        <v>0</v>
      </c>
      <c r="E211" s="641">
        <f t="shared" si="66"/>
        <v>0</v>
      </c>
      <c r="F211" s="641">
        <f t="shared" si="66"/>
        <v>0</v>
      </c>
      <c r="G211" s="641">
        <f t="shared" si="66"/>
        <v>0</v>
      </c>
      <c r="H211" s="641">
        <f t="shared" si="66"/>
        <v>0</v>
      </c>
      <c r="I211" s="642">
        <f t="shared" si="66"/>
        <v>0</v>
      </c>
    </row>
    <row r="212" spans="1:64" ht="15.75" hidden="1">
      <c r="A212" s="639" t="s">
        <v>215</v>
      </c>
      <c r="B212" s="640"/>
      <c r="C212" s="641">
        <f t="shared" ref="C212:I212" si="67">C211+C124+C127+C147</f>
        <v>0</v>
      </c>
      <c r="D212" s="641">
        <f t="shared" si="67"/>
        <v>0</v>
      </c>
      <c r="E212" s="641">
        <f t="shared" si="67"/>
        <v>0</v>
      </c>
      <c r="F212" s="641">
        <f t="shared" si="67"/>
        <v>0</v>
      </c>
      <c r="G212" s="641">
        <f t="shared" si="67"/>
        <v>0</v>
      </c>
      <c r="H212" s="641">
        <f t="shared" si="67"/>
        <v>0</v>
      </c>
      <c r="I212" s="642">
        <f t="shared" si="67"/>
        <v>0</v>
      </c>
    </row>
    <row r="213" spans="1:64" ht="15.75" hidden="1">
      <c r="A213" s="643"/>
      <c r="B213" s="506"/>
      <c r="C213" s="462">
        <f t="shared" ref="C213:I213" si="68">IF(C212&lt;100,100,C212)</f>
        <v>100</v>
      </c>
      <c r="D213" s="462">
        <f t="shared" si="68"/>
        <v>100</v>
      </c>
      <c r="E213" s="462">
        <f t="shared" si="68"/>
        <v>100</v>
      </c>
      <c r="F213" s="462">
        <f t="shared" si="68"/>
        <v>100</v>
      </c>
      <c r="G213" s="462">
        <f t="shared" si="68"/>
        <v>100</v>
      </c>
      <c r="H213" s="462">
        <f t="shared" si="68"/>
        <v>100</v>
      </c>
      <c r="I213" s="365">
        <f t="shared" si="68"/>
        <v>100</v>
      </c>
    </row>
    <row r="214" spans="1:64" ht="15.75" hidden="1">
      <c r="A214" s="643"/>
      <c r="B214" s="506"/>
      <c r="C214" s="462">
        <f t="shared" ref="C214:I214" si="69">IF(C212&lt;200,200,C212)</f>
        <v>200</v>
      </c>
      <c r="D214" s="462">
        <f t="shared" si="69"/>
        <v>200</v>
      </c>
      <c r="E214" s="462">
        <f t="shared" si="69"/>
        <v>200</v>
      </c>
      <c r="F214" s="462">
        <f t="shared" si="69"/>
        <v>200</v>
      </c>
      <c r="G214" s="462">
        <f t="shared" si="69"/>
        <v>200</v>
      </c>
      <c r="H214" s="462">
        <f t="shared" si="69"/>
        <v>200</v>
      </c>
      <c r="I214" s="365">
        <f t="shared" si="69"/>
        <v>200</v>
      </c>
    </row>
    <row r="215" spans="1:64" ht="33" customHeight="1">
      <c r="A215" s="644" t="s">
        <v>2425</v>
      </c>
      <c r="B215" s="359"/>
      <c r="C215" s="457">
        <f>Zusatzeingaben!C218+einmaligesEK!C12</f>
        <v>0</v>
      </c>
      <c r="D215" s="457">
        <f>Zusatzeingaben!D218+einmaligesEK!D12</f>
        <v>0</v>
      </c>
      <c r="E215" s="457">
        <f>Zusatzeingaben!E218+einmaligesEK!E12</f>
        <v>0</v>
      </c>
      <c r="F215" s="457">
        <f>Zusatzeingaben!F218+einmaligesEK!F12</f>
        <v>0</v>
      </c>
      <c r="G215" s="457">
        <f>Zusatzeingaben!G218+einmaligesEK!G12</f>
        <v>0</v>
      </c>
      <c r="H215" s="457">
        <f>Zusatzeingaben!H218+einmaligesEK!H12</f>
        <v>0</v>
      </c>
      <c r="I215" s="457">
        <f>Zusatzeingaben!I218+einmaligesEK!I12</f>
        <v>0</v>
      </c>
    </row>
    <row r="216" spans="1:64" ht="20.100000000000001" customHeight="1">
      <c r="A216" s="303" t="s">
        <v>217</v>
      </c>
      <c r="B216" s="359"/>
      <c r="C216" s="457">
        <f>Zusatzeingaben!C219</f>
        <v>0</v>
      </c>
      <c r="D216" s="457">
        <f>Zusatzeingaben!D219</f>
        <v>0</v>
      </c>
      <c r="E216" s="338"/>
      <c r="F216" s="338"/>
      <c r="G216" s="338"/>
      <c r="H216" s="338"/>
      <c r="I216" s="339"/>
    </row>
    <row r="217" spans="1:64" ht="20.100000000000001" customHeight="1">
      <c r="A217" s="102" t="s">
        <v>219</v>
      </c>
      <c r="B217" s="655"/>
      <c r="C217" s="457">
        <f>Zusatzeingaben!C221</f>
        <v>0</v>
      </c>
      <c r="D217" s="457">
        <f>Zusatzeingaben!D221</f>
        <v>0</v>
      </c>
      <c r="E217" s="457">
        <f>Zusatzeingaben!E221</f>
        <v>0</v>
      </c>
      <c r="F217" s="457">
        <f>Zusatzeingaben!F221</f>
        <v>0</v>
      </c>
      <c r="G217" s="457">
        <f>Zusatzeingaben!G221</f>
        <v>0</v>
      </c>
      <c r="H217" s="457">
        <f>Zusatzeingaben!H221</f>
        <v>0</v>
      </c>
      <c r="I217" s="457">
        <f>Zusatzeingaben!I221</f>
        <v>0</v>
      </c>
      <c r="J217" s="287"/>
      <c r="K217" s="287"/>
      <c r="L217" s="287"/>
      <c r="M217" s="287"/>
      <c r="N217" s="287"/>
      <c r="O217" s="287"/>
      <c r="P217" s="287"/>
      <c r="Q217" s="287"/>
      <c r="R217" s="287"/>
      <c r="S217" s="287"/>
      <c r="T217" s="287"/>
      <c r="U217" s="287"/>
      <c r="V217" s="287"/>
      <c r="W217" s="287"/>
      <c r="X217" s="287"/>
      <c r="Y217" s="287"/>
      <c r="Z217" s="287"/>
      <c r="AA217" s="287"/>
      <c r="AB217" s="287"/>
      <c r="AC217" s="287"/>
      <c r="AD217" s="287"/>
      <c r="AE217" s="287"/>
      <c r="AF217" s="287"/>
      <c r="AG217" s="287"/>
      <c r="AH217" s="287"/>
      <c r="AI217" s="287"/>
      <c r="AJ217" s="287"/>
      <c r="AK217" s="287"/>
      <c r="AL217" s="287"/>
      <c r="AM217" s="287"/>
      <c r="AN217" s="287"/>
      <c r="AO217" s="287"/>
      <c r="AP217" s="287"/>
      <c r="AQ217" s="287"/>
      <c r="AR217" s="287"/>
      <c r="AS217" s="287"/>
      <c r="AT217" s="287"/>
      <c r="AU217" s="287"/>
      <c r="AV217" s="287"/>
      <c r="AW217" s="287"/>
      <c r="AX217" s="287"/>
      <c r="AY217" s="287"/>
      <c r="AZ217" s="287"/>
      <c r="BA217" s="287"/>
      <c r="BB217" s="287"/>
      <c r="BC217" s="287"/>
      <c r="BD217" s="287"/>
      <c r="BE217" s="287"/>
      <c r="BF217" s="287"/>
      <c r="BG217" s="287"/>
      <c r="BH217" s="287"/>
      <c r="BI217" s="287"/>
      <c r="BJ217" s="287"/>
      <c r="BK217" s="287"/>
      <c r="BL217" s="287"/>
    </row>
    <row r="218" spans="1:64" ht="20.100000000000001" customHeight="1">
      <c r="A218" s="102" t="s">
        <v>220</v>
      </c>
      <c r="B218" s="655"/>
      <c r="C218" s="457">
        <f>Zusatzeingaben!C222</f>
        <v>0</v>
      </c>
      <c r="D218" s="457">
        <f>Zusatzeingaben!D222</f>
        <v>0</v>
      </c>
      <c r="E218" s="457">
        <f>Zusatzeingaben!E222</f>
        <v>0</v>
      </c>
      <c r="F218" s="457">
        <f>Zusatzeingaben!F222</f>
        <v>0</v>
      </c>
      <c r="G218" s="457">
        <f>Zusatzeingaben!G222</f>
        <v>0</v>
      </c>
      <c r="H218" s="457">
        <f>Zusatzeingaben!H222</f>
        <v>0</v>
      </c>
      <c r="I218" s="457">
        <f>Zusatzeingaben!I222</f>
        <v>0</v>
      </c>
      <c r="J218" s="287"/>
      <c r="K218" s="287"/>
      <c r="L218" s="287"/>
      <c r="M218" s="287"/>
      <c r="N218" s="287"/>
      <c r="O218" s="287"/>
      <c r="P218" s="287"/>
      <c r="Q218" s="287"/>
      <c r="R218" s="287"/>
      <c r="S218" s="287"/>
      <c r="T218" s="287"/>
      <c r="U218" s="287"/>
      <c r="V218" s="287"/>
      <c r="W218" s="287"/>
      <c r="X218" s="287"/>
      <c r="Y218" s="287"/>
      <c r="Z218" s="287"/>
      <c r="AA218" s="287"/>
      <c r="AB218" s="287"/>
      <c r="AC218" s="287"/>
      <c r="AD218" s="287"/>
      <c r="AE218" s="287"/>
      <c r="AF218" s="287"/>
      <c r="AG218" s="287"/>
      <c r="AH218" s="287"/>
      <c r="AI218" s="287"/>
      <c r="AJ218" s="287"/>
      <c r="AK218" s="287"/>
      <c r="AL218" s="287"/>
      <c r="AM218" s="287"/>
      <c r="AN218" s="287"/>
      <c r="AO218" s="287"/>
      <c r="AP218" s="287"/>
      <c r="AQ218" s="287"/>
      <c r="AR218" s="287"/>
      <c r="AS218" s="287"/>
      <c r="AT218" s="287"/>
      <c r="AU218" s="287"/>
      <c r="AV218" s="287"/>
      <c r="AW218" s="287"/>
      <c r="AX218" s="287"/>
      <c r="AY218" s="287"/>
      <c r="AZ218" s="287"/>
      <c r="BA218" s="287"/>
      <c r="BB218" s="287"/>
      <c r="BC218" s="287"/>
      <c r="BD218" s="287"/>
      <c r="BE218" s="287"/>
      <c r="BF218" s="287"/>
      <c r="BG218" s="287"/>
      <c r="BH218" s="287"/>
      <c r="BI218" s="287"/>
      <c r="BJ218" s="287"/>
      <c r="BK218" s="287"/>
      <c r="BL218" s="287"/>
    </row>
    <row r="219" spans="1:64" ht="20.100000000000001" hidden="1" customHeight="1">
      <c r="A219" s="102"/>
      <c r="B219" s="655"/>
      <c r="C219" s="656">
        <f>IF(C218="1. PV",C33*0.3,IF(C218="2. PV",C33*0.6,IF(C218="3. PV",'Berechnung mit Einmalzahlung'!C177,0)))</f>
        <v>0</v>
      </c>
      <c r="D219" s="656">
        <f>IF(D218="1. PV",D33*0.3,IF(D218="2. PV",D33*0.6,IF(D218="3. PV",'Berechnung mit Einmalzahlung'!D177,0)))</f>
        <v>0</v>
      </c>
      <c r="E219" s="656">
        <f>IF(E218="1. PV",E33*0.3,IF(E218="2. PV",E33*0.6,IF(E218="3. PV",'Berechnung mit Einmalzahlung'!E177,0)))</f>
        <v>0</v>
      </c>
      <c r="F219" s="657"/>
      <c r="G219" s="657"/>
      <c r="H219" s="657"/>
      <c r="I219" s="658"/>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287"/>
      <c r="AL219" s="287"/>
      <c r="AM219" s="287"/>
      <c r="AN219" s="287"/>
      <c r="AO219" s="287"/>
      <c r="AP219" s="287"/>
      <c r="AQ219" s="287"/>
      <c r="AR219" s="287"/>
      <c r="AS219" s="287"/>
      <c r="AT219" s="287"/>
      <c r="AU219" s="287"/>
      <c r="AV219" s="287"/>
      <c r="AW219" s="287"/>
      <c r="AX219" s="287"/>
      <c r="AY219" s="287"/>
      <c r="AZ219" s="287"/>
      <c r="BA219" s="287"/>
      <c r="BB219" s="287"/>
      <c r="BC219" s="287"/>
      <c r="BD219" s="287"/>
      <c r="BE219" s="287"/>
      <c r="BF219" s="287"/>
      <c r="BG219" s="287"/>
      <c r="BH219" s="287"/>
      <c r="BI219" s="287"/>
      <c r="BJ219" s="287"/>
      <c r="BK219" s="287"/>
      <c r="BL219" s="287"/>
    </row>
    <row r="220" spans="1:64" ht="20.100000000000001" hidden="1" customHeight="1">
      <c r="A220" s="102"/>
      <c r="B220" s="655"/>
      <c r="C220" s="656">
        <f>IF(C218="1. PV",'Berechnung mit Einmalzahlung'!C179,IF(C218="2. PV",'Berechnung mit Einmalzahlung'!C177,IF(C218="3. PV",'Berechnung mit Einmalzahlung'!C177,0)))</f>
        <v>0</v>
      </c>
      <c r="D220" s="656">
        <f>IF(D218="1. PV",'Berechnung mit Einmalzahlung'!D179,IF(D218="2. PV",'Berechnung mit Einmalzahlung'!D177,IF(D218="3. PV",'Berechnung mit Einmalzahlung'!D177,0)))</f>
        <v>0</v>
      </c>
      <c r="E220" s="656">
        <f>IF(E218="1. PV",'Berechnung mit Einmalzahlung'!E179,IF(E218="2. PV",'Berechnung mit Einmalzahlung'!E177,IF(E218="3. PV",'Berechnung mit Einmalzahlung'!E177,0)))</f>
        <v>0</v>
      </c>
      <c r="F220" s="656">
        <f>IF(F218="1. PV",'Berechnung mit Einmalzahlung'!F179,IF(F218="2. PV",'Berechnung mit Einmalzahlung'!F177,IF(F218="3. PV",'Berechnung mit Einmalzahlung'!F177,0)))</f>
        <v>0</v>
      </c>
      <c r="G220" s="656">
        <f>IF(G218="1. PV",'Berechnung mit Einmalzahlung'!G179,IF(G218="2. PV",'Berechnung mit Einmalzahlung'!G177,IF(G218="3. PV",'Berechnung mit Einmalzahlung'!G177,0)))</f>
        <v>0</v>
      </c>
      <c r="H220" s="656">
        <f>IF(H218="1. PV",'Berechnung mit Einmalzahlung'!H179,IF(H218="2. PV",'Berechnung mit Einmalzahlung'!H177,IF(H218="3. PV",'Berechnung mit Einmalzahlung'!H177,0)))</f>
        <v>0</v>
      </c>
      <c r="I220" s="659">
        <f>IF(I218="1. PV",'Berechnung mit Einmalzahlung'!I179,IF(I218="2. PV",'Berechnung mit Einmalzahlung'!I177,IF(I218="3. PV",'Berechnung mit Einmalzahlung'!I177,0)))</f>
        <v>0</v>
      </c>
    </row>
    <row r="221" spans="1:64" ht="20.100000000000001" hidden="1" customHeight="1">
      <c r="A221" s="102"/>
      <c r="B221" s="655"/>
      <c r="C221" s="656">
        <f>IF(C222="unter 25",C220,C219)</f>
        <v>0</v>
      </c>
      <c r="D221" s="656">
        <f>IF(D222="unter 25",D220,D219)</f>
        <v>0</v>
      </c>
      <c r="E221" s="656">
        <f>IF(E222="unter 25",E220,E219)</f>
        <v>0</v>
      </c>
      <c r="F221" s="657">
        <f>F220</f>
        <v>0</v>
      </c>
      <c r="G221" s="657">
        <f>G220</f>
        <v>0</v>
      </c>
      <c r="H221" s="657">
        <f>H220</f>
        <v>0</v>
      </c>
      <c r="I221" s="658">
        <f>I220</f>
        <v>0</v>
      </c>
    </row>
    <row r="222" spans="1:64" ht="20.100000000000001" customHeight="1">
      <c r="A222" s="347" t="s">
        <v>2364</v>
      </c>
      <c r="B222" s="418"/>
      <c r="C222" s="1748">
        <f>Zusatzeingaben!C226</f>
        <v>0</v>
      </c>
      <c r="D222" s="1748">
        <f>Zusatzeingaben!D226</f>
        <v>0</v>
      </c>
      <c r="E222" s="1748">
        <f>Zusatzeingaben!E226</f>
        <v>0</v>
      </c>
      <c r="F222" s="1749"/>
      <c r="G222" s="1749"/>
      <c r="H222" s="1749"/>
      <c r="I222" s="1750"/>
    </row>
    <row r="223" spans="1:64" ht="20.100000000000001" customHeight="1">
      <c r="A223" s="1878" t="str">
        <f>einmaligesEK!A11</f>
        <v>Steuererstattung</v>
      </c>
      <c r="B223" s="526"/>
      <c r="C223" s="1879">
        <f>einmaligesEK!C11</f>
        <v>0</v>
      </c>
      <c r="D223" s="1879">
        <f>einmaligesEK!D11</f>
        <v>0</v>
      </c>
      <c r="E223" s="1879">
        <f>einmaligesEK!E11</f>
        <v>0</v>
      </c>
      <c r="F223" s="1879">
        <f>einmaligesEK!F11</f>
        <v>0</v>
      </c>
      <c r="G223" s="1879">
        <f>einmaligesEK!G11</f>
        <v>0</v>
      </c>
      <c r="H223" s="1879">
        <f>einmaligesEK!H11</f>
        <v>0</v>
      </c>
      <c r="I223" s="1879">
        <f>einmaligesEK!I11</f>
        <v>0</v>
      </c>
    </row>
    <row r="224" spans="1:64" ht="20.100000000000001" customHeight="1">
      <c r="A224" s="1880" t="s">
        <v>225</v>
      </c>
      <c r="B224" s="1881"/>
      <c r="C224" s="1882" t="s">
        <v>226</v>
      </c>
      <c r="D224" s="1882" t="s">
        <v>227</v>
      </c>
      <c r="E224" s="1882" t="s">
        <v>228</v>
      </c>
      <c r="F224" s="1882" t="s">
        <v>229</v>
      </c>
      <c r="G224" s="1882" t="s">
        <v>230</v>
      </c>
      <c r="H224" s="678"/>
      <c r="I224" s="678"/>
    </row>
    <row r="225" spans="1:64" ht="20.100000000000001" customHeight="1">
      <c r="A225" s="1883" t="s">
        <v>231</v>
      </c>
      <c r="B225" s="655"/>
      <c r="C225" s="457"/>
      <c r="D225" s="316"/>
      <c r="E225" s="316"/>
      <c r="F225" s="321">
        <f>IF(E225-D225+1&lt;30,E225-D225+1,30)</f>
        <v>1</v>
      </c>
      <c r="G225" s="1884">
        <f>C225/30*F225</f>
        <v>0</v>
      </c>
      <c r="H225" s="678"/>
      <c r="I225" s="678"/>
    </row>
    <row r="226" spans="1:64" ht="20.100000000000001" customHeight="1">
      <c r="A226" s="393"/>
      <c r="B226" s="340"/>
      <c r="C226" s="678"/>
      <c r="D226" s="678"/>
      <c r="E226" s="678"/>
      <c r="F226" s="678"/>
      <c r="G226" s="678"/>
      <c r="H226" s="678"/>
      <c r="I226" s="678"/>
    </row>
    <row r="227" spans="1:64" ht="20.100000000000001" hidden="1" customHeight="1">
      <c r="A227" s="1751" t="s">
        <v>232</v>
      </c>
      <c r="B227" s="394"/>
      <c r="C227" s="1885">
        <f>VLOOKUP(E2,Bedarfssätze!B7:C17,2)</f>
        <v>409</v>
      </c>
      <c r="D227" s="1885">
        <f>VLOOKUP(E2,Bedarfssätze!E7:F17,2)</f>
        <v>368</v>
      </c>
      <c r="E227" s="1885">
        <f>VLOOKUP(E2,Bedarfssätze!H7:I17,2)</f>
        <v>327</v>
      </c>
      <c r="F227" s="1885">
        <f>VLOOKUP(E2,Bedarfssätze!B26:C36,2)</f>
        <v>311</v>
      </c>
      <c r="G227" s="1885">
        <f>VLOOKUP(E2,Bedarfssätze!E26:F36,2)</f>
        <v>291</v>
      </c>
      <c r="H227" s="1885">
        <f>VLOOKUP(E2,Bedarfssätze!H26:I36,2)</f>
        <v>237</v>
      </c>
      <c r="I227" s="394"/>
    </row>
    <row r="228" spans="1:64" ht="20.100000000000001" customHeight="1">
      <c r="A228" s="1754"/>
      <c r="B228" s="1754"/>
      <c r="C228" s="1754"/>
      <c r="D228" s="1754"/>
      <c r="E228" s="1754"/>
      <c r="F228" s="1754"/>
      <c r="G228" s="1754"/>
      <c r="H228" s="1754"/>
      <c r="I228" s="1754"/>
    </row>
    <row r="229" spans="1:64" ht="20.100000000000001" customHeight="1">
      <c r="A229" s="1755" t="s">
        <v>2365</v>
      </c>
      <c r="B229" s="1886">
        <f>IF(Berechnung!B161&gt;0,Berechnung!B161,"0,00 €")</f>
        <v>449</v>
      </c>
      <c r="C229" s="1757"/>
      <c r="D229" s="394"/>
      <c r="E229" s="394"/>
      <c r="F229" s="394"/>
      <c r="G229" s="394"/>
      <c r="H229" s="394"/>
      <c r="I229" s="39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row>
    <row r="230" spans="1:64" ht="20.100000000000001" customHeight="1">
      <c r="A230" s="1887" t="s">
        <v>2426</v>
      </c>
      <c r="B230" s="394"/>
      <c r="C230" s="394"/>
      <c r="D230" s="394"/>
      <c r="E230" s="394"/>
      <c r="F230" s="394"/>
      <c r="G230" s="394"/>
      <c r="H230" s="394"/>
      <c r="I230" s="394"/>
    </row>
    <row r="231" spans="1:64" ht="20.100000000000001" customHeight="1">
      <c r="A231" s="1754"/>
      <c r="B231" s="394"/>
      <c r="C231" s="394"/>
      <c r="D231" s="394"/>
      <c r="E231" s="394"/>
      <c r="F231" s="394"/>
      <c r="G231" s="394"/>
      <c r="H231" s="394"/>
      <c r="I231" s="394"/>
      <c r="J231" s="287"/>
      <c r="K231" s="287"/>
      <c r="L231" s="287"/>
      <c r="M231" s="287"/>
      <c r="N231" s="287"/>
      <c r="O231" s="287"/>
      <c r="P231" s="287"/>
      <c r="Q231" s="287"/>
      <c r="R231" s="287"/>
      <c r="S231" s="287"/>
      <c r="T231" s="287"/>
      <c r="U231" s="287"/>
      <c r="V231" s="287"/>
      <c r="W231" s="287"/>
      <c r="X231" s="287"/>
      <c r="Y231" s="287"/>
      <c r="Z231" s="287"/>
      <c r="AA231" s="287"/>
      <c r="AB231" s="287"/>
      <c r="AC231" s="287"/>
      <c r="AD231" s="287"/>
      <c r="AE231" s="287"/>
      <c r="AF231" s="287"/>
      <c r="AG231" s="287"/>
      <c r="AH231" s="287"/>
      <c r="AI231" s="287"/>
      <c r="AJ231" s="287"/>
      <c r="AK231" s="287"/>
      <c r="AL231" s="287"/>
      <c r="AM231" s="287"/>
      <c r="AN231" s="287"/>
      <c r="AO231" s="287"/>
      <c r="AP231" s="287"/>
      <c r="AQ231" s="287"/>
      <c r="AR231" s="287"/>
      <c r="AS231" s="287"/>
      <c r="AT231" s="287"/>
      <c r="AU231" s="287"/>
      <c r="AV231" s="287"/>
      <c r="AW231" s="287"/>
      <c r="AX231" s="287"/>
      <c r="AY231" s="287"/>
      <c r="AZ231" s="287"/>
      <c r="BA231" s="287"/>
      <c r="BB231" s="287"/>
      <c r="BC231" s="287"/>
      <c r="BD231" s="287"/>
      <c r="BE231" s="287"/>
      <c r="BF231" s="287"/>
      <c r="BG231" s="287"/>
      <c r="BH231" s="287"/>
      <c r="BI231" s="287"/>
      <c r="BJ231" s="287"/>
      <c r="BK231" s="287"/>
      <c r="BL231" s="287"/>
    </row>
    <row r="232" spans="1:64" ht="20.100000000000001" customHeight="1">
      <c r="A232" s="687"/>
      <c r="B232" s="687"/>
      <c r="C232" s="687"/>
      <c r="D232" s="687"/>
      <c r="E232" s="687"/>
      <c r="F232" s="687"/>
      <c r="G232" s="687"/>
      <c r="H232" s="687"/>
      <c r="I232" s="687"/>
    </row>
    <row r="233" spans="1:64" ht="20.100000000000001" customHeight="1">
      <c r="A233" s="1759"/>
      <c r="B233" s="394"/>
      <c r="C233" s="1754"/>
      <c r="D233" s="730"/>
      <c r="E233" s="730"/>
      <c r="F233" s="730"/>
      <c r="G233" s="730"/>
      <c r="H233" s="730"/>
      <c r="I233" s="730"/>
    </row>
    <row r="234" spans="1:64" ht="20.100000000000001" customHeight="1">
      <c r="A234" s="282"/>
      <c r="B234" s="1760"/>
      <c r="C234" s="1760"/>
      <c r="D234" s="1760"/>
      <c r="E234" s="1760"/>
      <c r="F234" s="1760"/>
      <c r="G234" s="1760"/>
      <c r="H234" s="1760"/>
      <c r="I234" s="1760"/>
    </row>
    <row r="235" spans="1:64" ht="20.100000000000001" customHeight="1">
      <c r="A235" s="282"/>
      <c r="B235" s="1888"/>
      <c r="C235" s="1889">
        <f>VLOOKUP($E$2,Bedarfssätze!B93:C94,2)</f>
        <v>190</v>
      </c>
      <c r="D235" s="1889">
        <f>VLOOKUP($E$2,Bedarfssätze!E93:F94,2)</f>
        <v>190</v>
      </c>
      <c r="E235" s="1889">
        <f>VLOOKUP($E$2,Bedarfssätze!H93:I94,2)</f>
        <v>192</v>
      </c>
      <c r="F235" s="1889">
        <f>VLOOKUP($E$2,Bedarfssätze!B102:C103,2)</f>
        <v>199.25</v>
      </c>
      <c r="G235" s="1889">
        <f>VLOOKUP($E$2,Bedarfssätze!E102:F103,2)</f>
        <v>203.6</v>
      </c>
      <c r="H235" s="1760"/>
      <c r="I235" s="1760"/>
    </row>
    <row r="236" spans="1:64" ht="20.100000000000001" customHeight="1">
      <c r="A236" s="282"/>
      <c r="B236" s="1888"/>
      <c r="C236" s="1889">
        <f>VLOOKUP($E$2,Bedarfssätze!B115:C118,2)</f>
        <v>150</v>
      </c>
      <c r="D236" s="1889">
        <f>VLOOKUP($E$2,Bedarfssätze!E115:F118,2)</f>
        <v>201</v>
      </c>
      <c r="E236" s="1889">
        <f>VLOOKUP($E$2,Bedarfssätze!H115:I118,2)</f>
        <v>268</v>
      </c>
      <c r="F236" s="1890"/>
      <c r="G236" s="1890"/>
      <c r="H236" s="1760"/>
      <c r="I236" s="1760"/>
    </row>
    <row r="237" spans="1:64" ht="20.100000000000001" customHeight="1">
      <c r="A237" s="282"/>
      <c r="B237" s="1888"/>
      <c r="C237" s="1760"/>
      <c r="D237" s="1760"/>
      <c r="E237" s="1760"/>
      <c r="F237" s="1760"/>
      <c r="G237" s="1760"/>
      <c r="H237" s="1760"/>
      <c r="I237" s="1760"/>
    </row>
    <row r="238" spans="1:64" ht="20.100000000000001" customHeight="1">
      <c r="A238" s="282"/>
      <c r="B238" s="1888"/>
      <c r="C238" s="1760"/>
      <c r="D238" s="1760"/>
      <c r="E238" s="1760"/>
      <c r="F238" s="1760"/>
      <c r="G238" s="1760"/>
      <c r="H238" s="1760"/>
      <c r="I238" s="1760"/>
    </row>
    <row r="239" spans="1:64" ht="20.100000000000001" customHeight="1">
      <c r="A239" s="282"/>
      <c r="B239" s="1760"/>
      <c r="C239" s="1760"/>
      <c r="D239" s="1760"/>
      <c r="E239" s="1760"/>
      <c r="F239" s="1760"/>
      <c r="G239" s="1760"/>
      <c r="H239" s="1760"/>
      <c r="I239" s="1760"/>
    </row>
    <row r="240" spans="1:64" ht="20.100000000000001" customHeight="1">
      <c r="A240" s="282"/>
      <c r="B240" s="1760"/>
      <c r="C240" s="1760"/>
      <c r="D240" s="1760"/>
      <c r="E240" s="1760"/>
      <c r="F240" s="1760"/>
      <c r="G240" s="1760"/>
      <c r="H240" s="1760"/>
      <c r="I240" s="1760"/>
    </row>
    <row r="241" spans="1:9" ht="20.100000000000001" customHeight="1">
      <c r="A241" s="282"/>
      <c r="B241" s="1760"/>
      <c r="C241" s="1760"/>
      <c r="D241" s="1760"/>
      <c r="E241" s="1760"/>
      <c r="F241" s="1760"/>
      <c r="G241" s="1760"/>
      <c r="H241" s="1760"/>
      <c r="I241" s="1760"/>
    </row>
    <row r="242" spans="1:9" ht="20.100000000000001" customHeight="1">
      <c r="A242" s="282"/>
      <c r="B242" s="1760"/>
      <c r="C242" s="1760"/>
      <c r="D242" s="1760"/>
      <c r="E242" s="1760"/>
      <c r="F242" s="1760"/>
      <c r="G242" s="1760"/>
      <c r="H242" s="1760"/>
      <c r="I242" s="1760"/>
    </row>
    <row r="243" spans="1:9" ht="20.100000000000001" customHeight="1">
      <c r="A243" s="282"/>
      <c r="B243" s="282"/>
      <c r="C243" s="282"/>
      <c r="D243" s="282"/>
      <c r="E243" s="282"/>
      <c r="F243" s="282"/>
      <c r="G243" s="282"/>
      <c r="H243" s="282"/>
      <c r="I243" s="282"/>
    </row>
    <row r="244" spans="1:9" ht="20.100000000000001" customHeight="1">
      <c r="A244" s="282"/>
      <c r="B244" s="282"/>
      <c r="C244" s="282"/>
      <c r="D244" s="282"/>
      <c r="E244" s="282"/>
      <c r="F244" s="282"/>
      <c r="G244" s="282"/>
      <c r="H244" s="282"/>
      <c r="I244" s="282"/>
    </row>
    <row r="245" spans="1:9" ht="20.100000000000001" customHeight="1">
      <c r="A245" s="282"/>
      <c r="B245" s="282"/>
      <c r="C245" s="282"/>
      <c r="D245" s="282"/>
      <c r="E245" s="282"/>
      <c r="F245" s="282"/>
      <c r="G245" s="282"/>
      <c r="H245" s="282"/>
      <c r="I245" s="282"/>
    </row>
    <row r="246" spans="1:9" ht="20.100000000000001" customHeight="1">
      <c r="A246" s="282"/>
      <c r="B246" s="282"/>
      <c r="C246" s="282"/>
      <c r="D246" s="282"/>
      <c r="E246" s="282"/>
      <c r="F246" s="282"/>
      <c r="G246" s="282"/>
      <c r="H246" s="282"/>
      <c r="I246" s="282"/>
    </row>
    <row r="247" spans="1:9" ht="20.100000000000001" customHeight="1">
      <c r="A247" s="282"/>
      <c r="B247" s="282"/>
      <c r="C247" s="282"/>
      <c r="D247" s="282"/>
      <c r="E247" s="282"/>
      <c r="F247" s="282"/>
      <c r="G247" s="282"/>
      <c r="H247" s="282"/>
      <c r="I247" s="282"/>
    </row>
    <row r="248" spans="1:9" ht="20.100000000000001" customHeight="1">
      <c r="A248" s="282"/>
      <c r="B248" s="282"/>
      <c r="C248" s="282"/>
      <c r="D248" s="282"/>
      <c r="E248" s="282"/>
      <c r="F248" s="282"/>
      <c r="G248" s="282"/>
      <c r="H248" s="282"/>
      <c r="I248" s="282"/>
    </row>
    <row r="249" spans="1:9" ht="20.100000000000001" customHeight="1">
      <c r="A249" s="282"/>
      <c r="B249" s="282"/>
      <c r="C249" s="282"/>
      <c r="D249" s="282"/>
      <c r="E249" s="282"/>
      <c r="F249" s="282"/>
      <c r="G249" s="282"/>
      <c r="H249" s="282"/>
      <c r="I249" s="282"/>
    </row>
    <row r="250" spans="1:9" ht="20.100000000000001" customHeight="1">
      <c r="A250" s="282"/>
      <c r="B250" s="282"/>
      <c r="C250" s="282"/>
      <c r="D250" s="282"/>
      <c r="E250" s="282"/>
      <c r="F250" s="282"/>
      <c r="G250" s="282"/>
      <c r="H250" s="282"/>
      <c r="I250" s="282"/>
    </row>
    <row r="251" spans="1:9" ht="20.100000000000001" customHeight="1">
      <c r="A251" s="282"/>
      <c r="B251" s="282"/>
      <c r="C251" s="282"/>
      <c r="D251" s="282"/>
      <c r="E251" s="282"/>
      <c r="F251" s="282"/>
      <c r="G251" s="282"/>
      <c r="H251" s="282"/>
      <c r="I251" s="282"/>
    </row>
    <row r="252" spans="1:9" ht="20.100000000000001" customHeight="1">
      <c r="A252" s="282"/>
      <c r="B252" s="282"/>
      <c r="C252" s="282"/>
      <c r="D252" s="282"/>
      <c r="E252" s="282"/>
      <c r="F252" s="282"/>
      <c r="G252" s="282"/>
      <c r="H252" s="282"/>
      <c r="I252" s="282"/>
    </row>
    <row r="253" spans="1:9" ht="20.100000000000001" customHeight="1">
      <c r="A253" s="282"/>
      <c r="B253" s="282"/>
      <c r="C253" s="1761"/>
      <c r="D253" s="1761"/>
      <c r="E253" s="1761"/>
      <c r="F253" s="1761"/>
      <c r="G253" s="1761"/>
      <c r="H253" s="1761"/>
      <c r="I253" s="1761"/>
    </row>
    <row r="254" spans="1:9" ht="20.100000000000001" customHeight="1">
      <c r="A254" s="282"/>
      <c r="B254" s="282"/>
      <c r="C254" s="1761"/>
      <c r="D254" s="1761"/>
      <c r="E254" s="1761"/>
      <c r="F254" s="1761"/>
      <c r="G254" s="1761"/>
      <c r="H254" s="1761"/>
      <c r="I254" s="1761"/>
    </row>
    <row r="255" spans="1:9" ht="20.100000000000001" customHeight="1">
      <c r="A255" s="282"/>
      <c r="B255" s="282"/>
      <c r="C255" s="1761"/>
      <c r="D255" s="1761"/>
      <c r="E255" s="1761"/>
      <c r="F255" s="1761"/>
      <c r="G255" s="1761"/>
      <c r="H255" s="1761"/>
      <c r="I255" s="1761"/>
    </row>
    <row r="256" spans="1:9" ht="20.100000000000001" customHeight="1">
      <c r="A256" s="282"/>
      <c r="B256" s="282"/>
      <c r="C256" s="1761"/>
      <c r="D256" s="1761"/>
      <c r="E256" s="1761"/>
      <c r="F256" s="1761"/>
      <c r="G256" s="1761"/>
      <c r="H256" s="1761"/>
      <c r="I256" s="1761"/>
    </row>
    <row r="257" spans="1:9" ht="20.100000000000001" customHeight="1">
      <c r="A257" s="282"/>
      <c r="B257" s="282"/>
      <c r="C257" s="1761"/>
      <c r="D257" s="1761"/>
      <c r="E257" s="1761"/>
      <c r="F257" s="1761"/>
      <c r="G257" s="1761"/>
      <c r="H257" s="1761"/>
      <c r="I257" s="1761"/>
    </row>
    <row r="258" spans="1:9" ht="20.100000000000001" customHeight="1">
      <c r="A258" s="282"/>
      <c r="B258" s="282"/>
      <c r="C258" s="1761"/>
      <c r="D258" s="1761"/>
      <c r="E258" s="1761"/>
      <c r="F258" s="1761"/>
      <c r="G258" s="1761"/>
      <c r="H258" s="1761"/>
      <c r="I258" s="1761"/>
    </row>
    <row r="259" spans="1:9" ht="20.100000000000001" customHeight="1">
      <c r="A259" s="282"/>
      <c r="B259" s="282"/>
      <c r="C259" s="1761"/>
      <c r="D259" s="1761"/>
      <c r="E259" s="1761"/>
      <c r="F259" s="1761"/>
      <c r="G259" s="1761"/>
      <c r="H259" s="1761"/>
      <c r="I259" s="1761"/>
    </row>
    <row r="260" spans="1:9" ht="20.100000000000001" customHeight="1">
      <c r="A260" s="282"/>
      <c r="B260" s="282"/>
      <c r="C260" s="1761"/>
      <c r="D260" s="1761"/>
      <c r="E260" s="1761"/>
      <c r="F260" s="1761"/>
      <c r="G260" s="1761"/>
      <c r="H260" s="1761"/>
      <c r="I260" s="1761"/>
    </row>
    <row r="261" spans="1:9" ht="20.100000000000001" customHeight="1">
      <c r="A261" s="282"/>
      <c r="B261" s="282"/>
      <c r="C261" s="1761"/>
      <c r="D261" s="1761"/>
      <c r="E261" s="1761"/>
      <c r="F261" s="1761"/>
      <c r="G261" s="1761"/>
      <c r="H261" s="1761"/>
      <c r="I261" s="1761"/>
    </row>
    <row r="262" spans="1:9" ht="20.100000000000001" customHeight="1">
      <c r="A262" s="282"/>
      <c r="B262" s="282"/>
      <c r="C262" s="1761"/>
      <c r="D262" s="1761"/>
      <c r="E262" s="1761"/>
      <c r="F262" s="1761"/>
      <c r="G262" s="1761"/>
      <c r="H262" s="1761"/>
      <c r="I262" s="1761"/>
    </row>
    <row r="263" spans="1:9" ht="20.100000000000001" customHeight="1">
      <c r="A263" s="282"/>
      <c r="B263" s="282"/>
      <c r="C263" s="282"/>
      <c r="D263" s="282"/>
      <c r="E263" s="282"/>
      <c r="F263" s="282"/>
      <c r="G263" s="282"/>
      <c r="H263" s="282"/>
      <c r="I263" s="282"/>
    </row>
    <row r="264" spans="1:9" ht="20.100000000000001" customHeight="1">
      <c r="A264" s="282"/>
      <c r="B264" s="282"/>
      <c r="C264" s="282"/>
      <c r="D264" s="282"/>
      <c r="E264" s="282"/>
      <c r="F264" s="282"/>
      <c r="G264" s="282"/>
      <c r="H264" s="282"/>
      <c r="I264" s="282"/>
    </row>
    <row r="265" spans="1:9" ht="20.100000000000001" customHeight="1">
      <c r="A265" s="282"/>
      <c r="B265" s="282"/>
      <c r="C265" s="282"/>
      <c r="D265" s="282"/>
      <c r="E265" s="282"/>
      <c r="F265" s="282"/>
      <c r="G265" s="282"/>
      <c r="H265" s="282"/>
      <c r="I265" s="282"/>
    </row>
    <row r="266" spans="1:9" ht="20.100000000000001" customHeight="1">
      <c r="A266" s="282"/>
      <c r="B266" s="282"/>
      <c r="C266" s="282"/>
      <c r="D266" s="282"/>
      <c r="E266" s="282"/>
      <c r="F266" s="282"/>
      <c r="G266" s="282"/>
      <c r="H266" s="282"/>
      <c r="I266" s="282"/>
    </row>
    <row r="267" spans="1:9" ht="20.100000000000001" customHeight="1">
      <c r="A267" s="282"/>
      <c r="B267" s="282"/>
      <c r="C267" s="282"/>
      <c r="D267" s="282"/>
      <c r="E267" s="282"/>
      <c r="F267" s="282"/>
      <c r="G267" s="282"/>
      <c r="H267" s="282"/>
      <c r="I267" s="282"/>
    </row>
    <row r="268" spans="1:9" ht="20.100000000000001" customHeight="1">
      <c r="A268" s="282"/>
      <c r="B268" s="282"/>
      <c r="C268" s="282"/>
      <c r="D268" s="282"/>
      <c r="E268" s="282"/>
      <c r="F268" s="282"/>
      <c r="G268" s="282"/>
      <c r="H268" s="282"/>
      <c r="I268" s="282"/>
    </row>
    <row r="269" spans="1:9" ht="20.100000000000001" customHeight="1">
      <c r="A269" s="282"/>
      <c r="B269" s="282"/>
      <c r="C269" s="282"/>
      <c r="D269" s="282"/>
      <c r="E269" s="282"/>
      <c r="F269" s="282"/>
      <c r="G269" s="282"/>
      <c r="H269" s="282"/>
      <c r="I269" s="282"/>
    </row>
    <row r="270" spans="1:9" ht="20.100000000000001" customHeight="1">
      <c r="A270" s="282"/>
      <c r="B270" s="282"/>
      <c r="C270" s="282"/>
      <c r="D270" s="282"/>
      <c r="E270" s="282"/>
      <c r="F270" s="282"/>
      <c r="G270" s="282"/>
      <c r="H270" s="282"/>
      <c r="I270" s="282"/>
    </row>
    <row r="271" spans="1:9" ht="20.100000000000001" customHeight="1">
      <c r="A271" s="282"/>
      <c r="B271" s="282"/>
      <c r="C271" s="282"/>
      <c r="D271" s="282"/>
      <c r="E271" s="282"/>
      <c r="F271" s="282"/>
      <c r="G271" s="282"/>
      <c r="H271" s="282"/>
      <c r="I271" s="282"/>
    </row>
    <row r="272" spans="1:9" ht="20.100000000000001" customHeight="1">
      <c r="A272" s="282"/>
      <c r="B272" s="282"/>
      <c r="C272" s="282"/>
      <c r="D272" s="282"/>
      <c r="E272" s="282"/>
      <c r="F272" s="282"/>
      <c r="G272" s="282"/>
      <c r="H272" s="282"/>
      <c r="I272" s="282"/>
    </row>
    <row r="273" spans="1:9" ht="20.100000000000001" customHeight="1">
      <c r="A273" s="282"/>
      <c r="B273" s="282"/>
      <c r="C273" s="282"/>
      <c r="D273" s="282"/>
      <c r="E273" s="282"/>
      <c r="F273" s="282"/>
      <c r="G273" s="282"/>
      <c r="H273" s="282"/>
      <c r="I273" s="282"/>
    </row>
    <row r="274" spans="1:9" ht="20.100000000000001" customHeight="1">
      <c r="A274" s="282"/>
      <c r="B274" s="282"/>
      <c r="C274" s="282"/>
      <c r="D274" s="282"/>
      <c r="E274" s="282"/>
      <c r="F274" s="282"/>
      <c r="G274" s="282"/>
      <c r="H274" s="282"/>
      <c r="I274" s="282"/>
    </row>
    <row r="275" spans="1:9" ht="20.100000000000001" customHeight="1">
      <c r="A275" s="282"/>
      <c r="B275" s="282"/>
      <c r="C275" s="282"/>
      <c r="D275" s="282"/>
      <c r="E275" s="282"/>
      <c r="F275" s="282"/>
      <c r="G275" s="282"/>
      <c r="H275" s="282"/>
      <c r="I275" s="282"/>
    </row>
    <row r="276" spans="1:9" ht="20.100000000000001" customHeight="1">
      <c r="A276" s="282"/>
      <c r="B276" s="282"/>
      <c r="C276" s="282"/>
      <c r="D276" s="282"/>
      <c r="E276" s="282"/>
      <c r="F276" s="282"/>
      <c r="G276" s="282"/>
      <c r="H276" s="282"/>
      <c r="I276" s="282"/>
    </row>
    <row r="277" spans="1:9" ht="20.100000000000001" customHeight="1">
      <c r="A277" s="282"/>
      <c r="B277" s="282"/>
      <c r="C277" s="282"/>
      <c r="D277" s="282"/>
      <c r="E277" s="282"/>
      <c r="F277" s="282"/>
      <c r="G277" s="282"/>
      <c r="H277" s="282"/>
      <c r="I277" s="282"/>
    </row>
    <row r="278" spans="1:9" ht="20.100000000000001" customHeight="1"/>
    <row r="279" spans="1:9" ht="20.100000000000001" customHeight="1"/>
    <row r="280" spans="1:9" ht="20.100000000000001" customHeight="1"/>
    <row r="281" spans="1:9" ht="20.100000000000001" customHeight="1"/>
    <row r="282" spans="1:9" ht="20.100000000000001" customHeight="1"/>
    <row r="283" spans="1:9" ht="20.100000000000001" customHeight="1"/>
    <row r="284" spans="1:9" ht="20.100000000000001" customHeight="1"/>
    <row r="285" spans="1:9" ht="20.100000000000001" customHeight="1"/>
    <row r="286" spans="1:9" ht="20.100000000000001" customHeight="1"/>
    <row r="287" spans="1:9" ht="20.100000000000001" customHeight="1"/>
    <row r="288" spans="1:9"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sheetData>
  <sheetProtection sheet="1" objects="1" scenarios="1"/>
  <mergeCells count="2">
    <mergeCell ref="B2:C2"/>
    <mergeCell ref="V47:W47"/>
  </mergeCells>
  <conditionalFormatting sqref="C201:I201 C130:I130 C133:I133 C167:I168">
    <cfRule type="cellIs" dxfId="4" priority="2" operator="equal">
      <formula>0</formula>
    </cfRule>
  </conditionalFormatting>
  <dataValidations count="13">
    <dataValidation operator="equal" allowBlank="1" showInputMessage="1" showErrorMessage="1" promptTitle="bitte beachten:" prompt="hier die Zahl der Personen eintragen, die im gemeinsamen Haushalt leben, aber nicht zur Bedarfsgemeinschaft rechnen, z.B. Großeltern, Onkel" sqref="B5">
      <formula1>0</formula1>
      <formula2>0</formula2>
    </dataValidation>
    <dataValidation operator="equal" allowBlank="1" showInputMessage="1" showErrorMessage="1" prompt="bitte die Kosten für_x000a_die Haushalts-_x000a_gemeinschaft_x000a_eintragen" sqref="B102">
      <formula1>0</formula1>
      <formula2>0</formula2>
    </dataValidation>
    <dataValidation operator="equal" allowBlank="1" showInputMessage="1" showErrorMessage="1" error="Person nicht erwerbsfähig oder Altersrente; Fahrtkosten nur in nachgewiesener Höhe!" sqref="C122:I123">
      <formula1>0</formula1>
      <formula2>0</formula2>
    </dataValidation>
    <dataValidation type="list" operator="equal" allowBlank="1" showInputMessage="1" showErrorMessage="1" sqref="B96:B97">
      <formula1>"ja,nein"</formula1>
      <formula2>0</formula2>
    </dataValidation>
    <dataValidation type="list" operator="equal" allowBlank="1" showInputMessage="1" showErrorMessage="1" sqref="A178">
      <formula1>"Leistungen der Ausbildungsförderung (bitte auswählen),BAföG,Berufsausbildungsbeihilfe,Ausbildungsgeld,Unterhaltsbeitrag nach AFBG"</formula1>
      <formula2>0</formula2>
    </dataValidation>
    <dataValidation type="decimal" operator="lessThan" allowBlank="1" showInputMessage="1" showErrorMessage="1" errorTitle="Anspruch" error="anspruchsberechtigt?" sqref="C178:F180">
      <formula1>0.01</formula1>
      <formula2>0</formula2>
    </dataValidation>
    <dataValidation type="list" operator="equal" allowBlank="1" showInputMessage="1" showErrorMessage="1" sqref="E207:I207">
      <formula1>"1,2,3,4,5,6,7,8,9"</formula1>
      <formula2>0</formula2>
    </dataValidation>
    <dataValidation type="list" operator="equal" allowBlank="1" showInputMessage="1" showErrorMessage="1" sqref="C4">
      <formula1>"Antragsteller,Elternteil"</formula1>
      <formula2>0</formula2>
    </dataValidation>
    <dataValidation type="list" operator="equal" allowBlank="1" showInputMessage="1" showErrorMessage="1" sqref="D4">
      <formula1>"Partner(in),Elternteil"</formula1>
      <formula2>0</formula2>
    </dataValidation>
    <dataValidation type="list" operator="equal" allowBlank="1" showInputMessage="1" showErrorMessage="1" sqref="E4">
      <formula1>"Kind 1,Kind Antragst."</formula1>
      <formula2>0</formula2>
    </dataValidation>
    <dataValidation type="list" operator="equal" allowBlank="1" showInputMessage="1" showErrorMessage="1" sqref="B109">
      <formula1>"ja"</formula1>
      <formula2>0</formula2>
    </dataValidation>
    <dataValidation type="list" operator="equal" allowBlank="1" showInputMessage="1" showErrorMessage="1" sqref="A139">
      <formula1>"Kurzarbeitergeld,Insolvenzgeld,Zuschuss zum Mutterschaftsgeld,Gewinn aus selbständiger Tätigkeit"</formula1>
      <formula2>0</formula2>
    </dataValidation>
    <dataValidation type="list" operator="equal" allowBlank="1" showInputMessage="1" showErrorMessage="1" sqref="A142">
      <formula1>"Fahrkarte ÖPNV,tatsächliche Fahrtkosten"</formula1>
      <formula2>0</formula2>
    </dataValidation>
  </dataValidations>
  <hyperlinks>
    <hyperlink ref="B93" location="Bedarfssätze!A60" display="Liste Ernährung"/>
  </hyperlinks>
  <pageMargins left="0.7" right="0.7" top="0.78749999999999998" bottom="0.78749999999999998" header="0.51180555555555496" footer="0.51180555555555496"/>
  <pageSetup paperSize="9" firstPageNumber="0" orientation="portrait" horizontalDpi="300" verticalDpi="300"/>
  <legacyDrawing r:id="rId1"/>
</worksheet>
</file>

<file path=xl/worksheets/sheet19.xml><?xml version="1.0" encoding="utf-8"?>
<worksheet xmlns="http://schemas.openxmlformats.org/spreadsheetml/2006/main" xmlns:r="http://schemas.openxmlformats.org/officeDocument/2006/relationships">
  <dimension ref="A1:AV361"/>
  <sheetViews>
    <sheetView topLeftCell="A274" zoomScaleNormal="100" workbookViewId="0">
      <selection activeCell="AB3" sqref="AB3"/>
    </sheetView>
  </sheetViews>
  <sheetFormatPr baseColWidth="10" defaultColWidth="11.5703125" defaultRowHeight="12.75"/>
  <sheetData>
    <row r="1" spans="1:48" ht="13.5">
      <c r="A1" s="791" t="s">
        <v>266</v>
      </c>
      <c r="B1" s="2006" t="s">
        <v>282</v>
      </c>
      <c r="C1" s="2006"/>
      <c r="D1" s="791" t="s">
        <v>267</v>
      </c>
      <c r="E1" s="2006" t="s">
        <v>282</v>
      </c>
      <c r="F1" s="2006"/>
      <c r="G1" s="791" t="s">
        <v>268</v>
      </c>
      <c r="H1" s="2006" t="s">
        <v>282</v>
      </c>
      <c r="I1" s="2006"/>
      <c r="J1" s="791" t="s">
        <v>269</v>
      </c>
      <c r="K1" s="2006" t="s">
        <v>282</v>
      </c>
      <c r="L1" s="2006"/>
      <c r="M1" s="791" t="s">
        <v>270</v>
      </c>
      <c r="N1" s="2006" t="s">
        <v>282</v>
      </c>
      <c r="O1" s="2006"/>
      <c r="P1" s="792" t="s">
        <v>271</v>
      </c>
      <c r="Q1" s="2006" t="s">
        <v>282</v>
      </c>
      <c r="R1" s="2006"/>
      <c r="S1" s="792" t="s">
        <v>47</v>
      </c>
      <c r="T1" s="2006" t="s">
        <v>282</v>
      </c>
      <c r="U1" s="2006"/>
      <c r="V1" s="792" t="s">
        <v>272</v>
      </c>
      <c r="W1" s="2006" t="s">
        <v>282</v>
      </c>
      <c r="X1" s="2006"/>
      <c r="Y1" s="792" t="s">
        <v>273</v>
      </c>
      <c r="Z1" s="2006" t="s">
        <v>282</v>
      </c>
      <c r="AA1" s="2006"/>
      <c r="AB1" s="792" t="s">
        <v>274</v>
      </c>
      <c r="AC1" s="2006" t="s">
        <v>282</v>
      </c>
      <c r="AD1" s="2006"/>
      <c r="AE1" s="792" t="s">
        <v>275</v>
      </c>
      <c r="AF1" s="2006" t="s">
        <v>282</v>
      </c>
      <c r="AG1" s="2006"/>
      <c r="AH1" s="792" t="s">
        <v>276</v>
      </c>
      <c r="AI1" s="2006" t="s">
        <v>282</v>
      </c>
      <c r="AJ1" s="2006"/>
      <c r="AK1" s="792" t="s">
        <v>277</v>
      </c>
      <c r="AL1" s="2006" t="s">
        <v>282</v>
      </c>
      <c r="AM1" s="2006"/>
      <c r="AN1" s="792" t="s">
        <v>278</v>
      </c>
      <c r="AO1" s="2006" t="s">
        <v>282</v>
      </c>
      <c r="AP1" s="2006"/>
      <c r="AQ1" s="792" t="s">
        <v>279</v>
      </c>
      <c r="AR1" s="2006" t="s">
        <v>282</v>
      </c>
      <c r="AS1" s="2006"/>
      <c r="AT1" s="792" t="s">
        <v>280</v>
      </c>
      <c r="AU1" s="2006" t="s">
        <v>282</v>
      </c>
      <c r="AV1" s="2006"/>
    </row>
    <row r="2" spans="1:48" ht="13.5">
      <c r="A2" s="793" t="s">
        <v>281</v>
      </c>
      <c r="B2" s="1891">
        <v>2020</v>
      </c>
      <c r="C2" s="1891">
        <v>2019</v>
      </c>
      <c r="D2" s="793" t="s">
        <v>281</v>
      </c>
      <c r="E2" s="1891">
        <v>2020</v>
      </c>
      <c r="F2" s="1891">
        <v>2019</v>
      </c>
      <c r="G2" s="793" t="s">
        <v>281</v>
      </c>
      <c r="H2" s="1891">
        <v>2020</v>
      </c>
      <c r="I2" s="1891">
        <v>2019</v>
      </c>
      <c r="J2" s="793" t="s">
        <v>281</v>
      </c>
      <c r="K2" s="1891">
        <v>2020</v>
      </c>
      <c r="L2" s="1891">
        <v>2019</v>
      </c>
      <c r="M2" s="793" t="s">
        <v>281</v>
      </c>
      <c r="N2" s="1891">
        <v>2020</v>
      </c>
      <c r="O2" s="1891">
        <v>2019</v>
      </c>
      <c r="P2" s="794" t="s">
        <v>281</v>
      </c>
      <c r="Q2" s="1891">
        <v>2020</v>
      </c>
      <c r="R2" s="1891">
        <v>2019</v>
      </c>
      <c r="S2" s="794" t="s">
        <v>281</v>
      </c>
      <c r="T2" s="1891">
        <v>2020</v>
      </c>
      <c r="U2" s="1891">
        <v>2019</v>
      </c>
      <c r="V2" s="794" t="s">
        <v>281</v>
      </c>
      <c r="W2" s="1891">
        <v>2020</v>
      </c>
      <c r="X2" s="1891">
        <v>2019</v>
      </c>
      <c r="Y2" s="794" t="s">
        <v>281</v>
      </c>
      <c r="Z2" s="1891">
        <v>2020</v>
      </c>
      <c r="AA2" s="1891">
        <v>2019</v>
      </c>
      <c r="AB2" s="794" t="s">
        <v>281</v>
      </c>
      <c r="AC2" s="1891">
        <v>2020</v>
      </c>
      <c r="AD2" s="1891">
        <v>2019</v>
      </c>
      <c r="AE2" s="794" t="s">
        <v>281</v>
      </c>
      <c r="AF2" s="1891">
        <v>2020</v>
      </c>
      <c r="AG2" s="1891">
        <v>2019</v>
      </c>
      <c r="AH2" s="794" t="s">
        <v>281</v>
      </c>
      <c r="AI2" s="1891">
        <v>2020</v>
      </c>
      <c r="AJ2" s="1891">
        <v>2019</v>
      </c>
      <c r="AK2" s="794" t="s">
        <v>281</v>
      </c>
      <c r="AL2" s="1891">
        <v>2020</v>
      </c>
      <c r="AM2" s="1891">
        <v>2019</v>
      </c>
      <c r="AN2" s="794" t="s">
        <v>281</v>
      </c>
      <c r="AO2" s="1891">
        <v>2020</v>
      </c>
      <c r="AP2" s="1891">
        <v>2019</v>
      </c>
      <c r="AQ2" s="794" t="s">
        <v>281</v>
      </c>
      <c r="AR2" s="1891">
        <v>2020</v>
      </c>
      <c r="AS2" s="1891">
        <v>2019</v>
      </c>
      <c r="AT2" s="794" t="s">
        <v>281</v>
      </c>
      <c r="AU2" s="1891">
        <v>2020</v>
      </c>
      <c r="AV2" s="1891">
        <v>2019</v>
      </c>
    </row>
    <row r="3" spans="1:48" ht="13.5">
      <c r="A3" s="795" t="s">
        <v>283</v>
      </c>
      <c r="B3" s="795" t="s">
        <v>2223</v>
      </c>
      <c r="C3" s="795" t="s">
        <v>2223</v>
      </c>
      <c r="D3" s="795" t="s">
        <v>284</v>
      </c>
      <c r="E3" s="795" t="s">
        <v>2222</v>
      </c>
      <c r="F3" s="795" t="s">
        <v>2222</v>
      </c>
      <c r="G3" s="795" t="s">
        <v>285</v>
      </c>
      <c r="H3" s="795" t="s">
        <v>2224</v>
      </c>
      <c r="I3" s="795" t="s">
        <v>2224</v>
      </c>
      <c r="J3" s="795" t="s">
        <v>286</v>
      </c>
      <c r="K3" s="795" t="s">
        <v>2222</v>
      </c>
      <c r="L3" s="795" t="s">
        <v>2222</v>
      </c>
      <c r="M3" s="795" t="s">
        <v>287</v>
      </c>
      <c r="N3" s="796" t="s">
        <v>2224</v>
      </c>
      <c r="O3" s="796" t="s">
        <v>2224</v>
      </c>
      <c r="P3" s="796" t="s">
        <v>288</v>
      </c>
      <c r="Q3" s="796" t="s">
        <v>2226</v>
      </c>
      <c r="R3" s="796" t="s">
        <v>2226</v>
      </c>
      <c r="S3" s="796" t="s">
        <v>289</v>
      </c>
      <c r="T3" s="796" t="s">
        <v>2221</v>
      </c>
      <c r="U3" s="796" t="s">
        <v>2222</v>
      </c>
      <c r="V3" s="796" t="s">
        <v>290</v>
      </c>
      <c r="W3" s="796" t="s">
        <v>2222</v>
      </c>
      <c r="X3" s="796" t="s">
        <v>2222</v>
      </c>
      <c r="Y3" s="796" t="s">
        <v>291</v>
      </c>
      <c r="Z3" s="796" t="s">
        <v>2223</v>
      </c>
      <c r="AA3" s="796" t="s">
        <v>2223</v>
      </c>
      <c r="AB3" s="796" t="s">
        <v>292</v>
      </c>
      <c r="AC3" s="796" t="s">
        <v>2224</v>
      </c>
      <c r="AD3" s="796" t="s">
        <v>2224</v>
      </c>
      <c r="AE3" s="796" t="s">
        <v>293</v>
      </c>
      <c r="AF3" s="796" t="s">
        <v>2223</v>
      </c>
      <c r="AG3" s="796" t="s">
        <v>2223</v>
      </c>
      <c r="AH3" s="796" t="s">
        <v>294</v>
      </c>
      <c r="AI3" s="796" t="s">
        <v>2221</v>
      </c>
      <c r="AJ3" s="796" t="s">
        <v>2221</v>
      </c>
      <c r="AK3" s="796" t="s">
        <v>295</v>
      </c>
      <c r="AL3" s="796" t="s">
        <v>2221</v>
      </c>
      <c r="AM3" s="796" t="s">
        <v>2221</v>
      </c>
      <c r="AN3" s="796" t="s">
        <v>296</v>
      </c>
      <c r="AO3" s="796" t="s">
        <v>2222</v>
      </c>
      <c r="AP3" s="796" t="s">
        <v>2222</v>
      </c>
      <c r="AQ3" s="796" t="s">
        <v>297</v>
      </c>
      <c r="AR3" s="796" t="s">
        <v>2427</v>
      </c>
      <c r="AS3" s="796" t="s">
        <v>2226</v>
      </c>
      <c r="AT3" s="796" t="s">
        <v>298</v>
      </c>
      <c r="AU3" s="796" t="s">
        <v>2222</v>
      </c>
      <c r="AV3" t="s">
        <v>2222</v>
      </c>
    </row>
    <row r="4" spans="1:48" ht="13.5">
      <c r="A4" s="795" t="s">
        <v>299</v>
      </c>
      <c r="B4" s="795" t="s">
        <v>2222</v>
      </c>
      <c r="C4" s="795" t="s">
        <v>2222</v>
      </c>
      <c r="D4" s="795" t="s">
        <v>300</v>
      </c>
      <c r="E4" s="795" t="s">
        <v>2223</v>
      </c>
      <c r="F4" s="795" t="s">
        <v>2223</v>
      </c>
      <c r="G4" s="795"/>
      <c r="H4" s="795"/>
      <c r="I4" s="795"/>
      <c r="J4" s="795" t="s">
        <v>301</v>
      </c>
      <c r="K4" s="795" t="s">
        <v>2222</v>
      </c>
      <c r="L4" s="795" t="s">
        <v>2223</v>
      </c>
      <c r="M4" s="795" t="s">
        <v>302</v>
      </c>
      <c r="N4" s="796" t="s">
        <v>2222</v>
      </c>
      <c r="O4" s="796" t="s">
        <v>2223</v>
      </c>
      <c r="P4" s="796"/>
      <c r="Q4" s="796"/>
      <c r="R4" s="796"/>
      <c r="S4" s="796" t="s">
        <v>303</v>
      </c>
      <c r="T4" s="796" t="s">
        <v>2223</v>
      </c>
      <c r="U4" s="796" t="s">
        <v>2223</v>
      </c>
      <c r="V4" s="796" t="s">
        <v>304</v>
      </c>
      <c r="W4" s="796" t="s">
        <v>2223</v>
      </c>
      <c r="X4" s="796" t="s">
        <v>2224</v>
      </c>
      <c r="Y4" s="796" t="s">
        <v>305</v>
      </c>
      <c r="Z4" s="796" t="s">
        <v>2224</v>
      </c>
      <c r="AA4" s="796" t="s">
        <v>2223</v>
      </c>
      <c r="AB4" s="796" t="s">
        <v>306</v>
      </c>
      <c r="AC4" s="796" t="s">
        <v>2222</v>
      </c>
      <c r="AD4" s="796" t="s">
        <v>2222</v>
      </c>
      <c r="AE4" s="796" t="s">
        <v>307</v>
      </c>
      <c r="AF4" s="796" t="s">
        <v>2222</v>
      </c>
      <c r="AG4" s="796" t="s">
        <v>2222</v>
      </c>
      <c r="AH4" s="796" t="s">
        <v>308</v>
      </c>
      <c r="AI4" s="796" t="s">
        <v>2221</v>
      </c>
      <c r="AJ4" s="796" t="s">
        <v>2221</v>
      </c>
      <c r="AK4" s="796" t="s">
        <v>309</v>
      </c>
      <c r="AL4" s="796" t="s">
        <v>2221</v>
      </c>
      <c r="AM4" s="796" t="s">
        <v>2221</v>
      </c>
      <c r="AN4" s="796" t="s">
        <v>310</v>
      </c>
      <c r="AO4" s="796" t="s">
        <v>2222</v>
      </c>
      <c r="AP4" s="796" t="s">
        <v>2222</v>
      </c>
      <c r="AQ4" s="796" t="s">
        <v>311</v>
      </c>
      <c r="AR4" s="796" t="s">
        <v>2223</v>
      </c>
      <c r="AS4" s="796" t="s">
        <v>2224</v>
      </c>
      <c r="AT4" s="796" t="s">
        <v>312</v>
      </c>
      <c r="AU4" s="796" t="s">
        <v>2222</v>
      </c>
      <c r="AV4" t="s">
        <v>2222</v>
      </c>
    </row>
    <row r="5" spans="1:48" ht="13.5">
      <c r="A5" s="795" t="s">
        <v>313</v>
      </c>
      <c r="B5" s="795" t="s">
        <v>2224</v>
      </c>
      <c r="C5" s="795"/>
      <c r="D5" s="795" t="s">
        <v>314</v>
      </c>
      <c r="E5" s="795" t="s">
        <v>2223</v>
      </c>
      <c r="F5" s="795" t="s">
        <v>2222</v>
      </c>
      <c r="G5" s="795"/>
      <c r="H5" s="795"/>
      <c r="I5" s="795"/>
      <c r="J5" s="795" t="s">
        <v>315</v>
      </c>
      <c r="K5" s="795" t="s">
        <v>2221</v>
      </c>
      <c r="L5" s="795" t="s">
        <v>2222</v>
      </c>
      <c r="M5" s="795"/>
      <c r="N5" s="796"/>
      <c r="O5" s="796"/>
      <c r="P5" s="796"/>
      <c r="Q5" s="796"/>
      <c r="R5" s="796"/>
      <c r="S5" s="796" t="s">
        <v>316</v>
      </c>
      <c r="T5" s="796" t="s">
        <v>2222</v>
      </c>
      <c r="U5" s="796" t="s">
        <v>2223</v>
      </c>
      <c r="V5" s="796" t="s">
        <v>317</v>
      </c>
      <c r="W5" s="796" t="s">
        <v>2222</v>
      </c>
      <c r="X5" s="796" t="s">
        <v>2223</v>
      </c>
      <c r="Y5" s="796" t="s">
        <v>318</v>
      </c>
      <c r="Z5" s="796" t="s">
        <v>2221</v>
      </c>
      <c r="AA5" s="796" t="s">
        <v>2221</v>
      </c>
      <c r="AB5" s="796" t="s">
        <v>319</v>
      </c>
      <c r="AC5" s="796" t="s">
        <v>2222</v>
      </c>
      <c r="AD5" s="796" t="s">
        <v>2222</v>
      </c>
      <c r="AE5" s="796" t="s">
        <v>320</v>
      </c>
      <c r="AF5" s="796" t="s">
        <v>2223</v>
      </c>
      <c r="AG5" s="796" t="s">
        <v>2224</v>
      </c>
      <c r="AH5" s="796" t="s">
        <v>321</v>
      </c>
      <c r="AI5" s="796" t="s">
        <v>2222</v>
      </c>
      <c r="AJ5" s="796" t="s">
        <v>2221</v>
      </c>
      <c r="AK5" s="796" t="s">
        <v>322</v>
      </c>
      <c r="AL5" s="796" t="s">
        <v>2221</v>
      </c>
      <c r="AM5" s="796" t="s">
        <v>2221</v>
      </c>
      <c r="AN5" s="796" t="s">
        <v>323</v>
      </c>
      <c r="AO5" s="796" t="s">
        <v>2222</v>
      </c>
      <c r="AP5" s="796" t="s">
        <v>2222</v>
      </c>
      <c r="AQ5" s="796" t="s">
        <v>324</v>
      </c>
      <c r="AR5" s="796" t="s">
        <v>2224</v>
      </c>
      <c r="AS5" s="796" t="s">
        <v>2224</v>
      </c>
      <c r="AT5" s="796" t="s">
        <v>325</v>
      </c>
      <c r="AU5" s="796" t="s">
        <v>2222</v>
      </c>
      <c r="AV5" t="s">
        <v>2222</v>
      </c>
    </row>
    <row r="6" spans="1:48" ht="13.5">
      <c r="A6" s="795" t="s">
        <v>326</v>
      </c>
      <c r="B6" s="795" t="s">
        <v>2222</v>
      </c>
      <c r="C6" s="795" t="s">
        <v>2222</v>
      </c>
      <c r="D6" s="795" t="s">
        <v>327</v>
      </c>
      <c r="E6" s="795" t="s">
        <v>2223</v>
      </c>
      <c r="F6" s="795" t="s">
        <v>2223</v>
      </c>
      <c r="G6" s="795"/>
      <c r="H6" s="795"/>
      <c r="I6" s="795"/>
      <c r="J6" s="795" t="s">
        <v>328</v>
      </c>
      <c r="K6" s="795" t="s">
        <v>2223</v>
      </c>
      <c r="L6" s="795" t="s">
        <v>2222</v>
      </c>
      <c r="M6" s="795"/>
      <c r="N6" s="796"/>
      <c r="O6" s="796"/>
      <c r="P6" s="796"/>
      <c r="Q6" s="796"/>
      <c r="R6" s="796"/>
      <c r="S6" s="796" t="s">
        <v>329</v>
      </c>
      <c r="T6" s="796" t="s">
        <v>2223</v>
      </c>
      <c r="U6" s="796" t="s">
        <v>2223</v>
      </c>
      <c r="V6" s="796" t="s">
        <v>330</v>
      </c>
      <c r="W6" s="796" t="s">
        <v>2222</v>
      </c>
      <c r="X6" s="796" t="s">
        <v>2223</v>
      </c>
      <c r="Y6" s="796" t="s">
        <v>331</v>
      </c>
      <c r="Z6" s="796" t="s">
        <v>2221</v>
      </c>
      <c r="AA6" s="796" t="s">
        <v>2222</v>
      </c>
      <c r="AB6" s="796" t="s">
        <v>332</v>
      </c>
      <c r="AC6" s="796" t="s">
        <v>2223</v>
      </c>
      <c r="AD6" s="796" t="s">
        <v>2223</v>
      </c>
      <c r="AE6" s="796" t="s">
        <v>333</v>
      </c>
      <c r="AF6" s="796" t="s">
        <v>2223</v>
      </c>
      <c r="AG6" s="796" t="s">
        <v>2223</v>
      </c>
      <c r="AH6" s="796" t="s">
        <v>334</v>
      </c>
      <c r="AI6" s="796" t="s">
        <v>2222</v>
      </c>
      <c r="AJ6" s="796" t="s">
        <v>2222</v>
      </c>
      <c r="AK6" s="796" t="s">
        <v>335</v>
      </c>
      <c r="AL6" s="796" t="s">
        <v>2223</v>
      </c>
      <c r="AM6" s="796" t="s">
        <v>2223</v>
      </c>
      <c r="AN6" s="796" t="s">
        <v>336</v>
      </c>
      <c r="AO6" s="796" t="s">
        <v>2223</v>
      </c>
      <c r="AP6" s="796" t="s">
        <v>2223</v>
      </c>
      <c r="AQ6" s="796" t="s">
        <v>337</v>
      </c>
      <c r="AR6" s="796" t="s">
        <v>2225</v>
      </c>
      <c r="AS6" s="796" t="s">
        <v>2225</v>
      </c>
      <c r="AT6" s="796" t="s">
        <v>338</v>
      </c>
      <c r="AU6" s="796" t="s">
        <v>2221</v>
      </c>
      <c r="AV6" t="s">
        <v>2222</v>
      </c>
    </row>
    <row r="7" spans="1:48" ht="13.5">
      <c r="A7" s="795" t="s">
        <v>339</v>
      </c>
      <c r="B7" s="795" t="s">
        <v>2222</v>
      </c>
      <c r="C7" s="795" t="s">
        <v>2222</v>
      </c>
      <c r="D7" s="795" t="s">
        <v>340</v>
      </c>
      <c r="E7" s="795" t="s">
        <v>2222</v>
      </c>
      <c r="F7" s="795" t="s">
        <v>2222</v>
      </c>
      <c r="G7" s="795"/>
      <c r="H7" s="795"/>
      <c r="I7" s="795"/>
      <c r="J7" s="795" t="s">
        <v>268</v>
      </c>
      <c r="K7" s="795" t="s">
        <v>2224</v>
      </c>
      <c r="L7" s="795" t="s">
        <v>2224</v>
      </c>
      <c r="M7" s="795"/>
      <c r="N7" s="796"/>
      <c r="O7" s="796"/>
      <c r="P7" s="796"/>
      <c r="Q7" s="796"/>
      <c r="R7" s="796"/>
      <c r="S7" s="796" t="s">
        <v>341</v>
      </c>
      <c r="T7" s="796" t="s">
        <v>2221</v>
      </c>
      <c r="U7" s="796" t="s">
        <v>2221</v>
      </c>
      <c r="V7" s="796" t="s">
        <v>342</v>
      </c>
      <c r="W7" s="796" t="s">
        <v>2222</v>
      </c>
      <c r="X7" s="796" t="s">
        <v>2222</v>
      </c>
      <c r="Y7" s="796" t="s">
        <v>343</v>
      </c>
      <c r="Z7" s="796" t="s">
        <v>2221</v>
      </c>
      <c r="AA7" s="796" t="s">
        <v>2221</v>
      </c>
      <c r="AB7" s="796" t="s">
        <v>344</v>
      </c>
      <c r="AC7" s="796" t="s">
        <v>2224</v>
      </c>
      <c r="AD7" s="796" t="s">
        <v>2224</v>
      </c>
      <c r="AE7" s="796" t="s">
        <v>345</v>
      </c>
      <c r="AF7" s="796" t="s">
        <v>2223</v>
      </c>
      <c r="AG7" s="796" t="s">
        <v>2223</v>
      </c>
      <c r="AH7" s="796" t="s">
        <v>346</v>
      </c>
      <c r="AI7" s="796" t="s">
        <v>2221</v>
      </c>
      <c r="AJ7" s="796" t="s">
        <v>2221</v>
      </c>
      <c r="AK7" s="796" t="s">
        <v>347</v>
      </c>
      <c r="AL7" s="796" t="s">
        <v>2222</v>
      </c>
      <c r="AM7" s="796" t="s">
        <v>2222</v>
      </c>
      <c r="AN7" s="796" t="s">
        <v>348</v>
      </c>
      <c r="AO7" s="796" t="s">
        <v>2221</v>
      </c>
      <c r="AP7" s="796" t="s">
        <v>2221</v>
      </c>
      <c r="AQ7" s="796" t="s">
        <v>349</v>
      </c>
      <c r="AR7" s="796" t="s">
        <v>2224</v>
      </c>
      <c r="AS7" s="796" t="s">
        <v>2224</v>
      </c>
      <c r="AT7" s="796" t="s">
        <v>350</v>
      </c>
      <c r="AU7" s="796" t="s">
        <v>2222</v>
      </c>
      <c r="AV7" t="s">
        <v>2222</v>
      </c>
    </row>
    <row r="8" spans="1:48" ht="13.5">
      <c r="A8" s="795" t="s">
        <v>351</v>
      </c>
      <c r="B8" s="795" t="s">
        <v>2224</v>
      </c>
      <c r="C8" s="795" t="s">
        <v>2224</v>
      </c>
      <c r="D8" s="795" t="s">
        <v>352</v>
      </c>
      <c r="E8" s="795" t="s">
        <v>2221</v>
      </c>
      <c r="F8" s="795"/>
      <c r="G8" s="795"/>
      <c r="H8" s="795"/>
      <c r="I8" s="795"/>
      <c r="J8" s="795" t="s">
        <v>353</v>
      </c>
      <c r="K8" s="795" t="s">
        <v>2223</v>
      </c>
      <c r="L8" s="795" t="s">
        <v>2223</v>
      </c>
      <c r="M8" s="795"/>
      <c r="N8" s="796"/>
      <c r="O8" s="796"/>
      <c r="P8" s="796"/>
      <c r="Q8" s="796"/>
      <c r="R8" s="796"/>
      <c r="S8" s="796" t="s">
        <v>354</v>
      </c>
      <c r="T8" s="796" t="s">
        <v>2222</v>
      </c>
      <c r="U8" s="796" t="s">
        <v>2223</v>
      </c>
      <c r="V8" s="796" t="s">
        <v>355</v>
      </c>
      <c r="W8" s="796" t="s">
        <v>2223</v>
      </c>
      <c r="X8" s="796" t="s">
        <v>2224</v>
      </c>
      <c r="Y8" s="796" t="s">
        <v>356</v>
      </c>
      <c r="Z8" s="796" t="s">
        <v>2221</v>
      </c>
      <c r="AA8" s="796" t="s">
        <v>2222</v>
      </c>
      <c r="AB8" s="796" t="s">
        <v>357</v>
      </c>
      <c r="AC8" s="796" t="s">
        <v>2222</v>
      </c>
      <c r="AD8" s="796" t="s">
        <v>2222</v>
      </c>
      <c r="AE8" s="796" t="s">
        <v>358</v>
      </c>
      <c r="AF8" s="796" t="s">
        <v>2222</v>
      </c>
      <c r="AG8" s="796" t="s">
        <v>2222</v>
      </c>
      <c r="AH8" s="796" t="s">
        <v>359</v>
      </c>
      <c r="AI8" s="796" t="s">
        <v>2221</v>
      </c>
      <c r="AJ8" s="796" t="s">
        <v>2222</v>
      </c>
      <c r="AK8" s="796" t="s">
        <v>360</v>
      </c>
      <c r="AL8" s="796" t="s">
        <v>2222</v>
      </c>
      <c r="AM8" s="796" t="s">
        <v>2222</v>
      </c>
      <c r="AN8" s="796" t="s">
        <v>361</v>
      </c>
      <c r="AO8" s="796" t="s">
        <v>2222</v>
      </c>
      <c r="AP8" s="796" t="s">
        <v>2222</v>
      </c>
      <c r="AQ8" s="796" t="s">
        <v>362</v>
      </c>
      <c r="AR8" s="796" t="s">
        <v>2225</v>
      </c>
      <c r="AS8" s="796" t="s">
        <v>2225</v>
      </c>
      <c r="AT8" s="796" t="s">
        <v>363</v>
      </c>
      <c r="AU8" s="796" t="s">
        <v>2222</v>
      </c>
      <c r="AV8" t="s">
        <v>2223</v>
      </c>
    </row>
    <row r="9" spans="1:48" ht="13.5">
      <c r="A9" s="795" t="s">
        <v>364</v>
      </c>
      <c r="B9" s="795" t="s">
        <v>2222</v>
      </c>
      <c r="C9" s="795"/>
      <c r="D9" s="795" t="s">
        <v>365</v>
      </c>
      <c r="E9" s="795" t="s">
        <v>2222</v>
      </c>
      <c r="F9" s="795" t="s">
        <v>2223</v>
      </c>
      <c r="G9" s="795"/>
      <c r="H9" s="795"/>
      <c r="I9" s="795"/>
      <c r="J9" s="795" t="s">
        <v>366</v>
      </c>
      <c r="K9" s="795" t="s">
        <v>2224</v>
      </c>
      <c r="L9" s="795" t="s">
        <v>2224</v>
      </c>
      <c r="M9" s="795"/>
      <c r="N9" s="796"/>
      <c r="O9" s="796"/>
      <c r="P9" s="796"/>
      <c r="Q9" s="796"/>
      <c r="R9" s="796"/>
      <c r="S9" s="796" t="s">
        <v>367</v>
      </c>
      <c r="T9" s="796" t="s">
        <v>2221</v>
      </c>
      <c r="U9" s="796" t="s">
        <v>2222</v>
      </c>
      <c r="V9" s="796" t="s">
        <v>368</v>
      </c>
      <c r="W9" s="796" t="s">
        <v>2222</v>
      </c>
      <c r="X9" s="796" t="s">
        <v>2223</v>
      </c>
      <c r="Y9" s="796" t="s">
        <v>369</v>
      </c>
      <c r="Z9" s="796" t="s">
        <v>2222</v>
      </c>
      <c r="AA9" s="796" t="s">
        <v>2222</v>
      </c>
      <c r="AB9" s="796" t="s">
        <v>370</v>
      </c>
      <c r="AC9" s="796" t="s">
        <v>2222</v>
      </c>
      <c r="AD9" s="796" t="s">
        <v>2223</v>
      </c>
      <c r="AE9" s="796" t="s">
        <v>371</v>
      </c>
      <c r="AF9" s="796" t="s">
        <v>2221</v>
      </c>
      <c r="AG9" s="796"/>
      <c r="AH9" s="796" t="s">
        <v>372</v>
      </c>
      <c r="AI9" s="796" t="s">
        <v>2222</v>
      </c>
      <c r="AJ9" s="796" t="s">
        <v>2221</v>
      </c>
      <c r="AK9" s="796" t="s">
        <v>373</v>
      </c>
      <c r="AL9" s="796" t="s">
        <v>2222</v>
      </c>
      <c r="AM9" s="796" t="s">
        <v>2222</v>
      </c>
      <c r="AN9" s="796" t="s">
        <v>374</v>
      </c>
      <c r="AO9" s="796" t="s">
        <v>2222</v>
      </c>
      <c r="AP9" s="796" t="s">
        <v>2222</v>
      </c>
      <c r="AQ9" s="796" t="s">
        <v>375</v>
      </c>
      <c r="AR9" s="796" t="s">
        <v>2224</v>
      </c>
      <c r="AS9" s="796" t="s">
        <v>2224</v>
      </c>
      <c r="AT9" s="796" t="s">
        <v>376</v>
      </c>
      <c r="AU9" s="796" t="s">
        <v>2221</v>
      </c>
      <c r="AV9" t="s">
        <v>2222</v>
      </c>
    </row>
    <row r="10" spans="1:48" ht="13.5">
      <c r="A10" s="795" t="s">
        <v>377</v>
      </c>
      <c r="B10" s="795" t="s">
        <v>2225</v>
      </c>
      <c r="C10" s="795" t="s">
        <v>2225</v>
      </c>
      <c r="D10" s="795" t="s">
        <v>378</v>
      </c>
      <c r="E10" s="795" t="s">
        <v>2222</v>
      </c>
      <c r="F10" s="795" t="s">
        <v>2222</v>
      </c>
      <c r="G10" s="795"/>
      <c r="H10" s="795"/>
      <c r="I10" s="795"/>
      <c r="J10" s="795" t="s">
        <v>379</v>
      </c>
      <c r="K10" s="795" t="s">
        <v>2222</v>
      </c>
      <c r="L10" s="795" t="s">
        <v>2222</v>
      </c>
      <c r="M10" s="795"/>
      <c r="N10" s="796"/>
      <c r="O10" s="796"/>
      <c r="P10" s="796"/>
      <c r="Q10" s="796"/>
      <c r="R10" s="796"/>
      <c r="S10" s="796" t="s">
        <v>380</v>
      </c>
      <c r="T10" s="796" t="s">
        <v>2226</v>
      </c>
      <c r="U10" s="796" t="s">
        <v>2226</v>
      </c>
      <c r="V10" s="796" t="s">
        <v>381</v>
      </c>
      <c r="W10" s="796" t="s">
        <v>2222</v>
      </c>
      <c r="X10" s="796" t="s">
        <v>2222</v>
      </c>
      <c r="Y10" s="796" t="s">
        <v>382</v>
      </c>
      <c r="Z10" s="796" t="s">
        <v>2221</v>
      </c>
      <c r="AA10" s="796" t="s">
        <v>2221</v>
      </c>
      <c r="AB10" s="796" t="s">
        <v>383</v>
      </c>
      <c r="AC10" s="796" t="s">
        <v>2221</v>
      </c>
      <c r="AD10" s="796" t="s">
        <v>2221</v>
      </c>
      <c r="AE10" s="796" t="s">
        <v>384</v>
      </c>
      <c r="AF10" s="796" t="s">
        <v>2223</v>
      </c>
      <c r="AG10" s="796" t="s">
        <v>2223</v>
      </c>
      <c r="AH10" s="796" t="s">
        <v>385</v>
      </c>
      <c r="AI10" s="796" t="s">
        <v>2223</v>
      </c>
      <c r="AJ10" s="796" t="s">
        <v>2222</v>
      </c>
      <c r="AK10" s="796" t="s">
        <v>386</v>
      </c>
      <c r="AL10" s="796" t="s">
        <v>2221</v>
      </c>
      <c r="AM10" s="796" t="s">
        <v>2222</v>
      </c>
      <c r="AN10" s="796" t="s">
        <v>387</v>
      </c>
      <c r="AO10" s="796" t="s">
        <v>2221</v>
      </c>
      <c r="AP10" s="796" t="s">
        <v>2221</v>
      </c>
      <c r="AQ10" s="796" t="s">
        <v>388</v>
      </c>
      <c r="AR10" s="796" t="s">
        <v>2427</v>
      </c>
      <c r="AS10" s="796" t="s">
        <v>2226</v>
      </c>
      <c r="AT10" s="796" t="s">
        <v>389</v>
      </c>
      <c r="AU10" s="796" t="s">
        <v>2223</v>
      </c>
      <c r="AV10" t="s">
        <v>2223</v>
      </c>
    </row>
    <row r="11" spans="1:48" ht="13.5">
      <c r="A11" s="796" t="s">
        <v>390</v>
      </c>
      <c r="B11" s="796" t="s">
        <v>2222</v>
      </c>
      <c r="C11" s="796"/>
      <c r="D11" s="796" t="s">
        <v>391</v>
      </c>
      <c r="E11" s="796" t="s">
        <v>2222</v>
      </c>
      <c r="F11" s="796" t="s">
        <v>2222</v>
      </c>
      <c r="G11" s="796"/>
      <c r="H11" s="796"/>
      <c r="I11" s="796"/>
      <c r="J11" s="796" t="s">
        <v>392</v>
      </c>
      <c r="K11" s="796" t="s">
        <v>2225</v>
      </c>
      <c r="L11" s="796" t="s">
        <v>2223</v>
      </c>
      <c r="M11" s="796"/>
      <c r="N11" s="796"/>
      <c r="O11" s="796"/>
      <c r="P11" s="796"/>
      <c r="Q11" s="796"/>
      <c r="R11" s="796"/>
      <c r="S11" s="796" t="s">
        <v>393</v>
      </c>
      <c r="T11" s="796" t="s">
        <v>2224</v>
      </c>
      <c r="U11" s="796" t="s">
        <v>2224</v>
      </c>
      <c r="V11" s="796" t="s">
        <v>394</v>
      </c>
      <c r="W11" s="796" t="s">
        <v>2222</v>
      </c>
      <c r="X11" s="796" t="s">
        <v>2222</v>
      </c>
      <c r="Y11" s="796" t="s">
        <v>395</v>
      </c>
      <c r="Z11" s="796" t="s">
        <v>2221</v>
      </c>
      <c r="AA11" s="796" t="s">
        <v>2222</v>
      </c>
      <c r="AB11" s="796" t="s">
        <v>396</v>
      </c>
      <c r="AC11" s="796" t="s">
        <v>2222</v>
      </c>
      <c r="AD11" s="796" t="s">
        <v>2223</v>
      </c>
      <c r="AE11" s="796" t="s">
        <v>397</v>
      </c>
      <c r="AF11" s="796" t="s">
        <v>2222</v>
      </c>
      <c r="AG11" s="796" t="s">
        <v>2223</v>
      </c>
      <c r="AH11" s="796" t="s">
        <v>398</v>
      </c>
      <c r="AI11" s="796" t="s">
        <v>2221</v>
      </c>
      <c r="AJ11" s="796" t="s">
        <v>2222</v>
      </c>
      <c r="AK11" s="796" t="s">
        <v>399</v>
      </c>
      <c r="AL11" s="796" t="s">
        <v>2222</v>
      </c>
      <c r="AM11" s="796" t="s">
        <v>2222</v>
      </c>
      <c r="AN11" s="796" t="s">
        <v>400</v>
      </c>
      <c r="AO11" s="796" t="s">
        <v>2223</v>
      </c>
      <c r="AP11" s="796" t="s">
        <v>2222</v>
      </c>
      <c r="AQ11" s="796" t="s">
        <v>401</v>
      </c>
      <c r="AR11" s="796" t="s">
        <v>2222</v>
      </c>
      <c r="AS11" s="796" t="s">
        <v>2222</v>
      </c>
      <c r="AT11" s="796" t="s">
        <v>402</v>
      </c>
      <c r="AU11" s="796" t="s">
        <v>2221</v>
      </c>
      <c r="AV11" t="s">
        <v>2222</v>
      </c>
    </row>
    <row r="12" spans="1:48" ht="13.5">
      <c r="A12" s="796" t="s">
        <v>403</v>
      </c>
      <c r="B12" s="796" t="s">
        <v>2224</v>
      </c>
      <c r="C12" s="796" t="s">
        <v>2224</v>
      </c>
      <c r="D12" s="796" t="s">
        <v>404</v>
      </c>
      <c r="E12" s="796" t="s">
        <v>2224</v>
      </c>
      <c r="F12" s="796" t="s">
        <v>2224</v>
      </c>
      <c r="G12" s="796"/>
      <c r="H12" s="796"/>
      <c r="I12" s="796"/>
      <c r="J12" s="796" t="s">
        <v>405</v>
      </c>
      <c r="K12" s="796" t="s">
        <v>2222</v>
      </c>
      <c r="L12" s="796" t="s">
        <v>2222</v>
      </c>
      <c r="M12" s="796"/>
      <c r="N12" s="796"/>
      <c r="O12" s="796"/>
      <c r="P12" s="796"/>
      <c r="Q12" s="796"/>
      <c r="R12" s="796"/>
      <c r="S12" s="796" t="s">
        <v>406</v>
      </c>
      <c r="T12" s="796" t="s">
        <v>2223</v>
      </c>
      <c r="U12" s="796" t="s">
        <v>2224</v>
      </c>
      <c r="V12" s="796" t="s">
        <v>407</v>
      </c>
      <c r="W12" s="796" t="s">
        <v>2222</v>
      </c>
      <c r="X12" s="796" t="s">
        <v>2222</v>
      </c>
      <c r="Y12" s="796" t="s">
        <v>408</v>
      </c>
      <c r="Z12" s="796" t="s">
        <v>2222</v>
      </c>
      <c r="AA12" s="796" t="s">
        <v>2222</v>
      </c>
      <c r="AB12" s="796" t="s">
        <v>409</v>
      </c>
      <c r="AC12" s="796" t="s">
        <v>2221</v>
      </c>
      <c r="AD12" s="796" t="s">
        <v>2221</v>
      </c>
      <c r="AE12" s="796" t="s">
        <v>410</v>
      </c>
      <c r="AF12" s="796" t="s">
        <v>2223</v>
      </c>
      <c r="AG12" s="796"/>
      <c r="AH12" s="796" t="s">
        <v>411</v>
      </c>
      <c r="AI12" s="796" t="s">
        <v>2224</v>
      </c>
      <c r="AJ12" s="796" t="s">
        <v>2222</v>
      </c>
      <c r="AK12" s="796" t="s">
        <v>412</v>
      </c>
      <c r="AL12" s="796" t="s">
        <v>2223</v>
      </c>
      <c r="AM12" s="796" t="s">
        <v>2223</v>
      </c>
      <c r="AN12" s="796" t="s">
        <v>413</v>
      </c>
      <c r="AO12" s="796" t="s">
        <v>2222</v>
      </c>
      <c r="AP12" s="796" t="s">
        <v>2222</v>
      </c>
      <c r="AQ12" s="796" t="s">
        <v>414</v>
      </c>
      <c r="AR12" s="796" t="s">
        <v>2222</v>
      </c>
      <c r="AS12" s="796"/>
      <c r="AT12" s="796" t="s">
        <v>415</v>
      </c>
      <c r="AU12" s="796" t="s">
        <v>2222</v>
      </c>
      <c r="AV12" t="s">
        <v>2222</v>
      </c>
    </row>
    <row r="13" spans="1:48" ht="13.5">
      <c r="A13" s="796" t="s">
        <v>416</v>
      </c>
      <c r="B13" s="796" t="s">
        <v>2223</v>
      </c>
      <c r="C13" s="796" t="s">
        <v>2224</v>
      </c>
      <c r="D13" s="796" t="s">
        <v>417</v>
      </c>
      <c r="E13" s="796" t="s">
        <v>2224</v>
      </c>
      <c r="F13" s="796" t="s">
        <v>2224</v>
      </c>
      <c r="G13" s="796"/>
      <c r="H13" s="796"/>
      <c r="I13" s="796"/>
      <c r="J13" s="796" t="s">
        <v>418</v>
      </c>
      <c r="K13" s="796" t="s">
        <v>2223</v>
      </c>
      <c r="L13" s="796" t="s">
        <v>2223</v>
      </c>
      <c r="M13" s="796"/>
      <c r="N13" s="796"/>
      <c r="O13" s="796"/>
      <c r="P13" s="796"/>
      <c r="Q13" s="796"/>
      <c r="R13" s="796"/>
      <c r="S13" s="796" t="s">
        <v>419</v>
      </c>
      <c r="T13" s="796" t="s">
        <v>2427</v>
      </c>
      <c r="U13" s="796" t="s">
        <v>2225</v>
      </c>
      <c r="V13" s="796" t="s">
        <v>420</v>
      </c>
      <c r="W13" s="796" t="s">
        <v>2221</v>
      </c>
      <c r="X13" s="796" t="s">
        <v>2222</v>
      </c>
      <c r="Y13" s="796" t="s">
        <v>421</v>
      </c>
      <c r="Z13" s="796" t="s">
        <v>2222</v>
      </c>
      <c r="AA13" s="796" t="s">
        <v>2222</v>
      </c>
      <c r="AB13" s="796" t="s">
        <v>422</v>
      </c>
      <c r="AC13" s="796" t="s">
        <v>2222</v>
      </c>
      <c r="AD13" s="796" t="s">
        <v>2222</v>
      </c>
      <c r="AE13" s="796" t="s">
        <v>423</v>
      </c>
      <c r="AF13" s="796" t="s">
        <v>2222</v>
      </c>
      <c r="AG13" s="796" t="s">
        <v>2221</v>
      </c>
      <c r="AH13" s="796" t="s">
        <v>424</v>
      </c>
      <c r="AI13" s="796" t="s">
        <v>2222</v>
      </c>
      <c r="AJ13" s="796" t="s">
        <v>2222</v>
      </c>
      <c r="AK13" s="796" t="s">
        <v>425</v>
      </c>
      <c r="AL13" s="796" t="s">
        <v>2221</v>
      </c>
      <c r="AM13" s="796" t="s">
        <v>2221</v>
      </c>
      <c r="AN13" s="796" t="s">
        <v>426</v>
      </c>
      <c r="AO13" s="796" t="s">
        <v>2221</v>
      </c>
      <c r="AP13" s="796" t="s">
        <v>2221</v>
      </c>
      <c r="AQ13" s="796" t="s">
        <v>427</v>
      </c>
      <c r="AR13" s="796" t="s">
        <v>2224</v>
      </c>
      <c r="AS13" s="796" t="s">
        <v>2224</v>
      </c>
      <c r="AT13" s="796" t="s">
        <v>428</v>
      </c>
      <c r="AU13" s="796" t="s">
        <v>2221</v>
      </c>
      <c r="AV13" t="s">
        <v>2221</v>
      </c>
    </row>
    <row r="14" spans="1:48" ht="13.5">
      <c r="A14" s="796" t="s">
        <v>429</v>
      </c>
      <c r="B14" s="796" t="s">
        <v>2223</v>
      </c>
      <c r="C14" s="796" t="s">
        <v>2223</v>
      </c>
      <c r="D14" s="796" t="s">
        <v>430</v>
      </c>
      <c r="E14" s="796" t="s">
        <v>2223</v>
      </c>
      <c r="F14" s="796" t="s">
        <v>2223</v>
      </c>
      <c r="G14" s="796"/>
      <c r="H14" s="796"/>
      <c r="I14" s="796"/>
      <c r="J14" s="796" t="s">
        <v>431</v>
      </c>
      <c r="K14" s="796" t="s">
        <v>2223</v>
      </c>
      <c r="L14" s="796" t="s">
        <v>2223</v>
      </c>
      <c r="M14" s="796"/>
      <c r="N14" s="796"/>
      <c r="O14" s="796"/>
      <c r="P14" s="796"/>
      <c r="Q14" s="796"/>
      <c r="R14" s="796"/>
      <c r="S14" s="796" t="s">
        <v>432</v>
      </c>
      <c r="T14" s="796" t="s">
        <v>2221</v>
      </c>
      <c r="U14" s="796" t="s">
        <v>2222</v>
      </c>
      <c r="V14" s="796" t="s">
        <v>433</v>
      </c>
      <c r="W14" s="796" t="s">
        <v>2221</v>
      </c>
      <c r="X14" s="796" t="s">
        <v>2222</v>
      </c>
      <c r="Y14" s="796" t="s">
        <v>434</v>
      </c>
      <c r="Z14" s="796" t="s">
        <v>2221</v>
      </c>
      <c r="AA14" s="796" t="s">
        <v>2221</v>
      </c>
      <c r="AB14" s="796" t="s">
        <v>435</v>
      </c>
      <c r="AC14" s="796" t="s">
        <v>2222</v>
      </c>
      <c r="AD14" s="796" t="s">
        <v>2222</v>
      </c>
      <c r="AE14" s="796" t="s">
        <v>436</v>
      </c>
      <c r="AF14" s="796" t="s">
        <v>2221</v>
      </c>
      <c r="AG14" s="796" t="s">
        <v>2221</v>
      </c>
      <c r="AH14" s="796" t="s">
        <v>437</v>
      </c>
      <c r="AI14" s="796" t="s">
        <v>2222</v>
      </c>
      <c r="AJ14" s="796" t="s">
        <v>2221</v>
      </c>
      <c r="AK14" s="796" t="s">
        <v>438</v>
      </c>
      <c r="AL14" s="796" t="s">
        <v>2222</v>
      </c>
      <c r="AM14" s="796" t="s">
        <v>2222</v>
      </c>
      <c r="AN14" s="796" t="s">
        <v>439</v>
      </c>
      <c r="AO14" s="796" t="s">
        <v>2222</v>
      </c>
      <c r="AP14" s="796" t="s">
        <v>2221</v>
      </c>
      <c r="AQ14" s="796" t="s">
        <v>440</v>
      </c>
      <c r="AR14" s="796" t="s">
        <v>2224</v>
      </c>
      <c r="AS14" s="796" t="s">
        <v>2224</v>
      </c>
      <c r="AT14" s="796" t="s">
        <v>441</v>
      </c>
      <c r="AU14" s="796" t="s">
        <v>2222</v>
      </c>
      <c r="AV14" t="s">
        <v>2222</v>
      </c>
    </row>
    <row r="15" spans="1:48" ht="13.5">
      <c r="A15" s="796" t="s">
        <v>442</v>
      </c>
      <c r="B15" s="796" t="s">
        <v>2225</v>
      </c>
      <c r="C15" s="796" t="s">
        <v>2225</v>
      </c>
      <c r="D15" s="796" t="s">
        <v>443</v>
      </c>
      <c r="E15" s="796" t="s">
        <v>2224</v>
      </c>
      <c r="F15" s="796" t="s">
        <v>2224</v>
      </c>
      <c r="G15" s="796"/>
      <c r="H15" s="796"/>
      <c r="I15" s="796"/>
      <c r="J15" s="796" t="s">
        <v>444</v>
      </c>
      <c r="K15" s="796" t="s">
        <v>2223</v>
      </c>
      <c r="L15" s="796" t="s">
        <v>2223</v>
      </c>
      <c r="M15" s="796"/>
      <c r="N15" s="796"/>
      <c r="O15" s="796"/>
      <c r="P15" s="796"/>
      <c r="Q15" s="796"/>
      <c r="R15" s="796"/>
      <c r="S15" s="796" t="s">
        <v>445</v>
      </c>
      <c r="T15" s="796" t="s">
        <v>2225</v>
      </c>
      <c r="U15" s="796" t="s">
        <v>2225</v>
      </c>
      <c r="V15" s="796" t="s">
        <v>446</v>
      </c>
      <c r="W15" s="796" t="s">
        <v>2222</v>
      </c>
      <c r="X15" s="796" t="s">
        <v>2222</v>
      </c>
      <c r="Y15" s="796" t="s">
        <v>447</v>
      </c>
      <c r="Z15" s="796" t="s">
        <v>2221</v>
      </c>
      <c r="AA15" s="796" t="s">
        <v>2222</v>
      </c>
      <c r="AB15" s="796" t="s">
        <v>448</v>
      </c>
      <c r="AC15" s="796" t="s">
        <v>2222</v>
      </c>
      <c r="AD15" s="796" t="s">
        <v>2222</v>
      </c>
      <c r="AE15" s="796" t="s">
        <v>449</v>
      </c>
      <c r="AF15" s="796" t="s">
        <v>2222</v>
      </c>
      <c r="AG15" s="796" t="s">
        <v>2222</v>
      </c>
      <c r="AH15" s="796" t="s">
        <v>450</v>
      </c>
      <c r="AI15" s="796" t="s">
        <v>2222</v>
      </c>
      <c r="AJ15" s="796"/>
      <c r="AK15" s="796" t="s">
        <v>451</v>
      </c>
      <c r="AL15" s="796" t="s">
        <v>2222</v>
      </c>
      <c r="AM15" s="796" t="s">
        <v>2222</v>
      </c>
      <c r="AN15" s="796" t="s">
        <v>452</v>
      </c>
      <c r="AO15" s="796" t="s">
        <v>2221</v>
      </c>
      <c r="AP15" s="796" t="s">
        <v>2222</v>
      </c>
      <c r="AQ15" s="796" t="s">
        <v>453</v>
      </c>
      <c r="AR15" s="796" t="s">
        <v>2224</v>
      </c>
      <c r="AS15" s="796" t="s">
        <v>2224</v>
      </c>
      <c r="AT15" s="796" t="s">
        <v>454</v>
      </c>
      <c r="AU15" s="796" t="s">
        <v>2221</v>
      </c>
      <c r="AV15" t="s">
        <v>2222</v>
      </c>
    </row>
    <row r="16" spans="1:48" ht="13.5">
      <c r="A16" s="796" t="s">
        <v>455</v>
      </c>
      <c r="B16" s="796" t="s">
        <v>2223</v>
      </c>
      <c r="C16" s="796" t="s">
        <v>2222</v>
      </c>
      <c r="D16" s="796" t="s">
        <v>456</v>
      </c>
      <c r="E16" s="796" t="s">
        <v>2221</v>
      </c>
      <c r="F16" s="796" t="s">
        <v>2222</v>
      </c>
      <c r="G16" s="796"/>
      <c r="H16" s="796"/>
      <c r="I16" s="796"/>
      <c r="J16" s="796" t="s">
        <v>457</v>
      </c>
      <c r="K16" s="796" t="s">
        <v>2224</v>
      </c>
      <c r="L16" s="796" t="s">
        <v>2225</v>
      </c>
      <c r="M16" s="796"/>
      <c r="N16" s="796"/>
      <c r="O16" s="796"/>
      <c r="P16" s="796"/>
      <c r="Q16" s="796"/>
      <c r="R16" s="796"/>
      <c r="S16" s="796" t="s">
        <v>458</v>
      </c>
      <c r="T16" s="796" t="s">
        <v>2221</v>
      </c>
      <c r="U16" s="796" t="s">
        <v>2222</v>
      </c>
      <c r="V16" s="796" t="s">
        <v>459</v>
      </c>
      <c r="W16" s="796" t="s">
        <v>2222</v>
      </c>
      <c r="X16" s="796" t="s">
        <v>2222</v>
      </c>
      <c r="Y16" s="796" t="s">
        <v>460</v>
      </c>
      <c r="Z16" s="796" t="s">
        <v>2222</v>
      </c>
      <c r="AA16" s="796" t="s">
        <v>2223</v>
      </c>
      <c r="AB16" s="796" t="s">
        <v>461</v>
      </c>
      <c r="AC16" s="796" t="s">
        <v>2221</v>
      </c>
      <c r="AD16" s="796" t="s">
        <v>2222</v>
      </c>
      <c r="AE16" s="796" t="s">
        <v>462</v>
      </c>
      <c r="AF16" s="796" t="s">
        <v>2223</v>
      </c>
      <c r="AG16" s="796" t="s">
        <v>2223</v>
      </c>
      <c r="AH16" s="796" t="s">
        <v>463</v>
      </c>
      <c r="AI16" s="796" t="s">
        <v>2221</v>
      </c>
      <c r="AJ16" s="796" t="s">
        <v>2221</v>
      </c>
      <c r="AK16" s="796" t="s">
        <v>464</v>
      </c>
      <c r="AL16" s="796" t="s">
        <v>2221</v>
      </c>
      <c r="AM16" s="796" t="s">
        <v>2222</v>
      </c>
      <c r="AN16" s="796" t="s">
        <v>465</v>
      </c>
      <c r="AO16" s="796" t="s">
        <v>2222</v>
      </c>
      <c r="AP16" s="796" t="s">
        <v>2221</v>
      </c>
      <c r="AQ16" s="796" t="s">
        <v>466</v>
      </c>
      <c r="AR16" s="796" t="s">
        <v>2223</v>
      </c>
      <c r="AS16" s="796" t="s">
        <v>2224</v>
      </c>
      <c r="AT16" s="796" t="s">
        <v>467</v>
      </c>
      <c r="AU16" s="796" t="s">
        <v>2222</v>
      </c>
      <c r="AV16" t="s">
        <v>2222</v>
      </c>
    </row>
    <row r="17" spans="1:48" ht="13.5">
      <c r="A17" s="796" t="s">
        <v>468</v>
      </c>
      <c r="B17" s="796" t="s">
        <v>2223</v>
      </c>
      <c r="C17" s="796" t="s">
        <v>2223</v>
      </c>
      <c r="D17" s="796" t="s">
        <v>469</v>
      </c>
      <c r="E17" s="796" t="s">
        <v>2221</v>
      </c>
      <c r="F17" s="796" t="s">
        <v>2221</v>
      </c>
      <c r="G17" s="796"/>
      <c r="H17" s="796"/>
      <c r="I17" s="796"/>
      <c r="J17" s="796" t="s">
        <v>470</v>
      </c>
      <c r="K17" s="796" t="s">
        <v>2222</v>
      </c>
      <c r="L17" s="796" t="s">
        <v>2222</v>
      </c>
      <c r="M17" s="796"/>
      <c r="N17" s="796"/>
      <c r="O17" s="796"/>
      <c r="P17" s="796"/>
      <c r="Q17" s="796"/>
      <c r="R17" s="796"/>
      <c r="S17" s="796" t="s">
        <v>471</v>
      </c>
      <c r="T17" s="796" t="s">
        <v>2222</v>
      </c>
      <c r="U17" s="796" t="s">
        <v>2222</v>
      </c>
      <c r="V17" s="796" t="s">
        <v>472</v>
      </c>
      <c r="W17" s="796" t="s">
        <v>2222</v>
      </c>
      <c r="X17" s="796" t="s">
        <v>2222</v>
      </c>
      <c r="Y17" s="796" t="s">
        <v>473</v>
      </c>
      <c r="Z17" s="796" t="s">
        <v>2221</v>
      </c>
      <c r="AA17" s="796" t="s">
        <v>2221</v>
      </c>
      <c r="AB17" s="796" t="s">
        <v>474</v>
      </c>
      <c r="AC17" s="796" t="s">
        <v>2221</v>
      </c>
      <c r="AD17" s="796" t="s">
        <v>2221</v>
      </c>
      <c r="AE17" s="796" t="s">
        <v>475</v>
      </c>
      <c r="AF17" s="796" t="s">
        <v>2223</v>
      </c>
      <c r="AG17" s="796" t="s">
        <v>2223</v>
      </c>
      <c r="AH17" s="796" t="s">
        <v>476</v>
      </c>
      <c r="AI17" s="796" t="s">
        <v>2221</v>
      </c>
      <c r="AJ17" s="796" t="s">
        <v>2222</v>
      </c>
      <c r="AK17" s="796" t="s">
        <v>477</v>
      </c>
      <c r="AL17" s="796" t="s">
        <v>2223</v>
      </c>
      <c r="AM17" s="796" t="s">
        <v>2223</v>
      </c>
      <c r="AN17" s="796" t="s">
        <v>478</v>
      </c>
      <c r="AO17" s="796" t="s">
        <v>2222</v>
      </c>
      <c r="AP17" s="796" t="s">
        <v>2222</v>
      </c>
      <c r="AQ17" s="796" t="s">
        <v>479</v>
      </c>
      <c r="AR17" s="796" t="s">
        <v>2223</v>
      </c>
      <c r="AS17" s="796" t="s">
        <v>2223</v>
      </c>
      <c r="AT17" s="796" t="s">
        <v>480</v>
      </c>
      <c r="AU17" s="796" t="s">
        <v>2224</v>
      </c>
      <c r="AV17" t="s">
        <v>2224</v>
      </c>
    </row>
    <row r="18" spans="1:48" ht="13.5">
      <c r="A18" s="796" t="s">
        <v>481</v>
      </c>
      <c r="B18" s="796" t="s">
        <v>2224</v>
      </c>
      <c r="C18" s="796" t="s">
        <v>2224</v>
      </c>
      <c r="D18" s="796" t="s">
        <v>482</v>
      </c>
      <c r="E18" s="796" t="s">
        <v>2224</v>
      </c>
      <c r="F18" s="796" t="s">
        <v>2224</v>
      </c>
      <c r="G18" s="796"/>
      <c r="H18" s="796"/>
      <c r="I18" s="796"/>
      <c r="J18" s="796" t="s">
        <v>483</v>
      </c>
      <c r="K18" s="796" t="s">
        <v>2221</v>
      </c>
      <c r="L18" s="796" t="s">
        <v>2222</v>
      </c>
      <c r="M18" s="796"/>
      <c r="N18" s="796"/>
      <c r="O18" s="796"/>
      <c r="P18" s="796"/>
      <c r="Q18" s="796"/>
      <c r="R18" s="796"/>
      <c r="S18" s="796" t="s">
        <v>484</v>
      </c>
      <c r="T18" s="796" t="s">
        <v>2221</v>
      </c>
      <c r="U18" s="796" t="s">
        <v>2221</v>
      </c>
      <c r="V18" s="796" t="s">
        <v>485</v>
      </c>
      <c r="W18" s="796" t="s">
        <v>2222</v>
      </c>
      <c r="X18" s="796" t="s">
        <v>2222</v>
      </c>
      <c r="Y18" s="796" t="s">
        <v>486</v>
      </c>
      <c r="Z18" s="796" t="s">
        <v>2222</v>
      </c>
      <c r="AA18" s="796" t="s">
        <v>2222</v>
      </c>
      <c r="AB18" s="796" t="s">
        <v>487</v>
      </c>
      <c r="AC18" s="796" t="s">
        <v>2224</v>
      </c>
      <c r="AD18" s="796" t="s">
        <v>2224</v>
      </c>
      <c r="AE18" s="796" t="s">
        <v>488</v>
      </c>
      <c r="AF18" s="796" t="s">
        <v>2222</v>
      </c>
      <c r="AG18" s="796" t="s">
        <v>2222</v>
      </c>
      <c r="AH18" s="796" t="s">
        <v>489</v>
      </c>
      <c r="AI18" s="796" t="s">
        <v>2221</v>
      </c>
      <c r="AJ18" s="796" t="s">
        <v>2221</v>
      </c>
      <c r="AK18" s="796" t="s">
        <v>490</v>
      </c>
      <c r="AL18" s="796" t="s">
        <v>2221</v>
      </c>
      <c r="AM18" s="796" t="s">
        <v>2221</v>
      </c>
      <c r="AN18" s="796" t="s">
        <v>491</v>
      </c>
      <c r="AO18" s="796" t="s">
        <v>2222</v>
      </c>
      <c r="AP18" s="796" t="s">
        <v>2222</v>
      </c>
      <c r="AQ18" s="796" t="s">
        <v>492</v>
      </c>
      <c r="AR18" s="796" t="s">
        <v>2225</v>
      </c>
      <c r="AS18" s="796" t="s">
        <v>2224</v>
      </c>
      <c r="AT18" s="796" t="s">
        <v>493</v>
      </c>
      <c r="AU18" s="796" t="s">
        <v>2221</v>
      </c>
      <c r="AV18" t="s">
        <v>2221</v>
      </c>
    </row>
    <row r="19" spans="1:48" ht="13.5">
      <c r="A19" s="796" t="s">
        <v>494</v>
      </c>
      <c r="B19" s="796" t="s">
        <v>2222</v>
      </c>
      <c r="C19" s="796" t="s">
        <v>2222</v>
      </c>
      <c r="D19" s="796" t="s">
        <v>495</v>
      </c>
      <c r="E19" s="796" t="s">
        <v>2221</v>
      </c>
      <c r="F19" s="796" t="s">
        <v>2221</v>
      </c>
      <c r="G19" s="796"/>
      <c r="H19" s="796"/>
      <c r="I19" s="796"/>
      <c r="J19" s="796" t="s">
        <v>496</v>
      </c>
      <c r="K19" s="796" t="s">
        <v>2222</v>
      </c>
      <c r="L19" s="796" t="s">
        <v>2223</v>
      </c>
      <c r="M19" s="796"/>
      <c r="N19" s="796"/>
      <c r="O19" s="796"/>
      <c r="P19" s="796"/>
      <c r="Q19" s="796"/>
      <c r="R19" s="796"/>
      <c r="S19" s="796" t="s">
        <v>497</v>
      </c>
      <c r="T19" s="796" t="s">
        <v>2223</v>
      </c>
      <c r="U19" s="796" t="s">
        <v>2224</v>
      </c>
      <c r="V19" s="796" t="s">
        <v>498</v>
      </c>
      <c r="W19" s="796" t="s">
        <v>2222</v>
      </c>
      <c r="X19" s="796" t="s">
        <v>2223</v>
      </c>
      <c r="Y19" s="796" t="s">
        <v>499</v>
      </c>
      <c r="Z19" s="796" t="s">
        <v>2222</v>
      </c>
      <c r="AA19" s="796" t="s">
        <v>2222</v>
      </c>
      <c r="AB19" s="796" t="s">
        <v>500</v>
      </c>
      <c r="AC19" s="796" t="s">
        <v>2221</v>
      </c>
      <c r="AD19" s="796" t="s">
        <v>2222</v>
      </c>
      <c r="AE19" s="796" t="s">
        <v>501</v>
      </c>
      <c r="AF19" s="796" t="s">
        <v>2223</v>
      </c>
      <c r="AG19" s="796" t="s">
        <v>2223</v>
      </c>
      <c r="AH19" s="796" t="s">
        <v>502</v>
      </c>
      <c r="AI19" s="796" t="s">
        <v>2221</v>
      </c>
      <c r="AJ19" s="796" t="s">
        <v>2221</v>
      </c>
      <c r="AK19" s="796" t="s">
        <v>503</v>
      </c>
      <c r="AL19" s="796" t="s">
        <v>2222</v>
      </c>
      <c r="AM19" s="796" t="s">
        <v>2222</v>
      </c>
      <c r="AN19" s="796" t="s">
        <v>504</v>
      </c>
      <c r="AO19" s="796" t="s">
        <v>2223</v>
      </c>
      <c r="AP19" s="796" t="s">
        <v>2223</v>
      </c>
      <c r="AQ19" s="796" t="s">
        <v>505</v>
      </c>
      <c r="AR19" s="796" t="s">
        <v>2225</v>
      </c>
      <c r="AS19" s="796" t="s">
        <v>2225</v>
      </c>
      <c r="AT19" s="796" t="s">
        <v>506</v>
      </c>
      <c r="AU19" s="796" t="s">
        <v>2221</v>
      </c>
      <c r="AV19" t="s">
        <v>2221</v>
      </c>
    </row>
    <row r="20" spans="1:48" ht="13.5">
      <c r="A20" s="796" t="s">
        <v>507</v>
      </c>
      <c r="B20" s="796" t="s">
        <v>2223</v>
      </c>
      <c r="C20" s="796" t="s">
        <v>2223</v>
      </c>
      <c r="D20" s="796" t="s">
        <v>508</v>
      </c>
      <c r="E20" s="796" t="s">
        <v>2225</v>
      </c>
      <c r="F20" s="796" t="s">
        <v>2225</v>
      </c>
      <c r="G20" s="796"/>
      <c r="H20" s="796"/>
      <c r="I20" s="796"/>
      <c r="J20" s="796" t="s">
        <v>509</v>
      </c>
      <c r="K20" s="796" t="s">
        <v>2224</v>
      </c>
      <c r="L20" s="796" t="s">
        <v>2224</v>
      </c>
      <c r="M20" s="796"/>
      <c r="N20" s="796"/>
      <c r="O20" s="796"/>
      <c r="P20" s="796"/>
      <c r="Q20" s="796"/>
      <c r="R20" s="796"/>
      <c r="S20" s="796" t="s">
        <v>510</v>
      </c>
      <c r="T20" s="796" t="s">
        <v>2222</v>
      </c>
      <c r="U20" s="796"/>
      <c r="V20" s="796" t="s">
        <v>511</v>
      </c>
      <c r="W20" s="796" t="s">
        <v>2222</v>
      </c>
      <c r="X20" s="796" t="s">
        <v>2222</v>
      </c>
      <c r="Y20" s="796" t="s">
        <v>512</v>
      </c>
      <c r="Z20" s="796" t="s">
        <v>2222</v>
      </c>
      <c r="AA20" s="796" t="s">
        <v>2222</v>
      </c>
      <c r="AB20" s="796" t="s">
        <v>513</v>
      </c>
      <c r="AC20" s="796" t="s">
        <v>2222</v>
      </c>
      <c r="AD20" s="796" t="s">
        <v>2222</v>
      </c>
      <c r="AE20" s="796" t="s">
        <v>514</v>
      </c>
      <c r="AF20" s="796" t="s">
        <v>2223</v>
      </c>
      <c r="AG20" s="796" t="s">
        <v>2223</v>
      </c>
      <c r="AH20" s="796" t="s">
        <v>515</v>
      </c>
      <c r="AI20" s="796" t="s">
        <v>2221</v>
      </c>
      <c r="AJ20" s="796" t="s">
        <v>2221</v>
      </c>
      <c r="AK20" s="796" t="s">
        <v>516</v>
      </c>
      <c r="AL20" s="796" t="s">
        <v>2222</v>
      </c>
      <c r="AM20" s="796" t="s">
        <v>2222</v>
      </c>
      <c r="AN20" s="796" t="s">
        <v>517</v>
      </c>
      <c r="AO20" s="796" t="s">
        <v>2222</v>
      </c>
      <c r="AP20" s="796" t="s">
        <v>2222</v>
      </c>
      <c r="AQ20" s="796" t="s">
        <v>518</v>
      </c>
      <c r="AR20" s="796" t="s">
        <v>2223</v>
      </c>
      <c r="AS20" s="796" t="s">
        <v>2222</v>
      </c>
      <c r="AT20" s="796" t="s">
        <v>519</v>
      </c>
      <c r="AU20" s="796" t="s">
        <v>2221</v>
      </c>
      <c r="AV20" t="s">
        <v>2221</v>
      </c>
    </row>
    <row r="21" spans="1:48" ht="13.5">
      <c r="A21" s="796" t="s">
        <v>520</v>
      </c>
      <c r="B21" s="796" t="s">
        <v>2223</v>
      </c>
      <c r="C21" s="796" t="s">
        <v>2223</v>
      </c>
      <c r="D21" s="796" t="s">
        <v>521</v>
      </c>
      <c r="E21" s="796" t="s">
        <v>2221</v>
      </c>
      <c r="F21" s="796" t="s">
        <v>2222</v>
      </c>
      <c r="G21" s="796"/>
      <c r="H21" s="796"/>
      <c r="I21" s="796"/>
      <c r="J21" s="796" t="s">
        <v>522</v>
      </c>
      <c r="K21" s="796" t="s">
        <v>2222</v>
      </c>
      <c r="L21" s="796" t="s">
        <v>2222</v>
      </c>
      <c r="M21" s="796"/>
      <c r="N21" s="796"/>
      <c r="O21" s="796"/>
      <c r="P21" s="796"/>
      <c r="Q21" s="796"/>
      <c r="R21" s="796"/>
      <c r="S21" s="796" t="s">
        <v>523</v>
      </c>
      <c r="T21" s="796" t="s">
        <v>2221</v>
      </c>
      <c r="U21" s="796" t="s">
        <v>2221</v>
      </c>
      <c r="V21" s="796" t="s">
        <v>524</v>
      </c>
      <c r="W21" s="796" t="s">
        <v>2222</v>
      </c>
      <c r="X21" s="796" t="s">
        <v>2222</v>
      </c>
      <c r="Y21" s="796" t="s">
        <v>525</v>
      </c>
      <c r="Z21" s="796" t="s">
        <v>2221</v>
      </c>
      <c r="AA21" s="796" t="s">
        <v>2221</v>
      </c>
      <c r="AB21" s="796" t="s">
        <v>526</v>
      </c>
      <c r="AC21" s="796" t="s">
        <v>2222</v>
      </c>
      <c r="AD21" s="796" t="s">
        <v>2222</v>
      </c>
      <c r="AE21" s="796" t="s">
        <v>527</v>
      </c>
      <c r="AF21" s="796" t="s">
        <v>2223</v>
      </c>
      <c r="AG21" s="796" t="s">
        <v>2222</v>
      </c>
      <c r="AH21" s="796" t="s">
        <v>528</v>
      </c>
      <c r="AI21" s="796" t="s">
        <v>2221</v>
      </c>
      <c r="AJ21" s="796" t="s">
        <v>2221</v>
      </c>
      <c r="AK21" s="796" t="s">
        <v>529</v>
      </c>
      <c r="AL21" s="796" t="s">
        <v>2221</v>
      </c>
      <c r="AM21" s="796" t="s">
        <v>2222</v>
      </c>
      <c r="AN21" s="796" t="s">
        <v>530</v>
      </c>
      <c r="AO21" s="796" t="s">
        <v>2222</v>
      </c>
      <c r="AP21" s="796" t="s">
        <v>2221</v>
      </c>
      <c r="AQ21" s="796" t="s">
        <v>531</v>
      </c>
      <c r="AR21" s="796" t="s">
        <v>2226</v>
      </c>
      <c r="AS21" s="796" t="s">
        <v>2226</v>
      </c>
      <c r="AT21" s="796" t="s">
        <v>532</v>
      </c>
      <c r="AU21" s="796" t="s">
        <v>2221</v>
      </c>
      <c r="AV21" t="s">
        <v>2221</v>
      </c>
    </row>
    <row r="22" spans="1:48" ht="13.5">
      <c r="A22" s="796" t="s">
        <v>533</v>
      </c>
      <c r="B22" s="796" t="s">
        <v>2223</v>
      </c>
      <c r="C22" s="796" t="s">
        <v>2223</v>
      </c>
      <c r="D22" s="796" t="s">
        <v>534</v>
      </c>
      <c r="E22" s="796" t="s">
        <v>2222</v>
      </c>
      <c r="F22" s="796" t="s">
        <v>2222</v>
      </c>
      <c r="G22" s="796"/>
      <c r="H22" s="796"/>
      <c r="I22" s="796"/>
      <c r="J22" s="796" t="s">
        <v>535</v>
      </c>
      <c r="K22" s="796" t="s">
        <v>2225</v>
      </c>
      <c r="L22" s="796" t="s">
        <v>2225</v>
      </c>
      <c r="M22" s="796"/>
      <c r="N22" s="796"/>
      <c r="O22" s="796"/>
      <c r="P22" s="796"/>
      <c r="Q22" s="796"/>
      <c r="R22" s="796"/>
      <c r="S22" s="796" t="s">
        <v>536</v>
      </c>
      <c r="T22" s="796"/>
      <c r="U22" s="796" t="s">
        <v>2222</v>
      </c>
      <c r="V22" s="796" t="s">
        <v>537</v>
      </c>
      <c r="W22" s="796" t="s">
        <v>2221</v>
      </c>
      <c r="X22" s="796" t="s">
        <v>2221</v>
      </c>
      <c r="Y22" s="796" t="s">
        <v>538</v>
      </c>
      <c r="Z22" s="796" t="s">
        <v>2221</v>
      </c>
      <c r="AA22" s="796" t="s">
        <v>2222</v>
      </c>
      <c r="AB22" s="796" t="s">
        <v>539</v>
      </c>
      <c r="AC22" s="796" t="s">
        <v>2222</v>
      </c>
      <c r="AD22" s="796" t="s">
        <v>2222</v>
      </c>
      <c r="AE22" s="796" t="s">
        <v>540</v>
      </c>
      <c r="AF22" s="796" t="s">
        <v>2221</v>
      </c>
      <c r="AG22" s="796" t="s">
        <v>2221</v>
      </c>
      <c r="AH22" s="796" t="s">
        <v>541</v>
      </c>
      <c r="AI22" s="796" t="s">
        <v>2221</v>
      </c>
      <c r="AJ22" s="796" t="s">
        <v>2221</v>
      </c>
      <c r="AK22" s="796" t="s">
        <v>542</v>
      </c>
      <c r="AL22" s="796" t="s">
        <v>2222</v>
      </c>
      <c r="AM22" s="796" t="s">
        <v>2222</v>
      </c>
      <c r="AN22" s="796" t="s">
        <v>543</v>
      </c>
      <c r="AO22" s="796" t="s">
        <v>2222</v>
      </c>
      <c r="AP22" s="796" t="s">
        <v>2221</v>
      </c>
      <c r="AQ22" s="796" t="s">
        <v>544</v>
      </c>
      <c r="AR22" s="796" t="s">
        <v>2221</v>
      </c>
      <c r="AS22" s="796" t="s">
        <v>2221</v>
      </c>
      <c r="AT22" s="796" t="s">
        <v>545</v>
      </c>
      <c r="AU22" s="796" t="s">
        <v>2221</v>
      </c>
      <c r="AV22" t="s">
        <v>2221</v>
      </c>
    </row>
    <row r="23" spans="1:48" ht="13.5">
      <c r="A23" s="796" t="s">
        <v>546</v>
      </c>
      <c r="B23" s="796" t="s">
        <v>2221</v>
      </c>
      <c r="C23" s="796" t="s">
        <v>2222</v>
      </c>
      <c r="D23" s="796" t="s">
        <v>547</v>
      </c>
      <c r="E23" s="796" t="s">
        <v>2223</v>
      </c>
      <c r="F23" s="796" t="s">
        <v>2223</v>
      </c>
      <c r="G23" s="796"/>
      <c r="H23" s="796"/>
      <c r="I23" s="796"/>
      <c r="J23" s="796" t="s">
        <v>548</v>
      </c>
      <c r="K23" s="796" t="s">
        <v>2222</v>
      </c>
      <c r="L23" s="796" t="s">
        <v>2222</v>
      </c>
      <c r="M23" s="796"/>
      <c r="N23" s="796"/>
      <c r="O23" s="796"/>
      <c r="P23" s="796"/>
      <c r="Q23" s="796"/>
      <c r="R23" s="796"/>
      <c r="S23" s="796" t="s">
        <v>549</v>
      </c>
      <c r="T23" s="796" t="s">
        <v>2224</v>
      </c>
      <c r="U23" s="796" t="s">
        <v>2224</v>
      </c>
      <c r="V23" s="796" t="s">
        <v>550</v>
      </c>
      <c r="W23" s="796" t="s">
        <v>2222</v>
      </c>
      <c r="X23" s="796" t="s">
        <v>2222</v>
      </c>
      <c r="Y23" s="796" t="s">
        <v>551</v>
      </c>
      <c r="Z23" s="796" t="s">
        <v>2221</v>
      </c>
      <c r="AA23" s="796" t="s">
        <v>2222</v>
      </c>
      <c r="AB23" s="796" t="s">
        <v>552</v>
      </c>
      <c r="AC23" s="796" t="s">
        <v>2222</v>
      </c>
      <c r="AD23" s="796" t="s">
        <v>2222</v>
      </c>
      <c r="AE23" s="796" t="s">
        <v>553</v>
      </c>
      <c r="AF23" s="796" t="s">
        <v>2224</v>
      </c>
      <c r="AG23" s="796" t="s">
        <v>2225</v>
      </c>
      <c r="AH23" s="796" t="s">
        <v>554</v>
      </c>
      <c r="AI23" s="796" t="s">
        <v>2221</v>
      </c>
      <c r="AJ23" s="796" t="s">
        <v>2221</v>
      </c>
      <c r="AK23" s="796" t="s">
        <v>555</v>
      </c>
      <c r="AL23" s="796" t="s">
        <v>2222</v>
      </c>
      <c r="AM23" s="796" t="s">
        <v>2222</v>
      </c>
      <c r="AN23" s="796" t="s">
        <v>556</v>
      </c>
      <c r="AO23" s="796"/>
      <c r="AP23" s="796" t="s">
        <v>2221</v>
      </c>
      <c r="AQ23" s="796" t="s">
        <v>557</v>
      </c>
      <c r="AR23" s="796" t="s">
        <v>2223</v>
      </c>
      <c r="AS23" s="796" t="s">
        <v>2223</v>
      </c>
      <c r="AT23" s="796" t="s">
        <v>558</v>
      </c>
      <c r="AU23" s="796" t="s">
        <v>2221</v>
      </c>
      <c r="AV23" t="s">
        <v>2222</v>
      </c>
    </row>
    <row r="24" spans="1:48" ht="13.5">
      <c r="A24" s="796" t="s">
        <v>559</v>
      </c>
      <c r="B24" s="796" t="s">
        <v>2224</v>
      </c>
      <c r="C24" s="796" t="s">
        <v>2224</v>
      </c>
      <c r="D24" s="796" t="s">
        <v>560</v>
      </c>
      <c r="E24" s="796" t="s">
        <v>2223</v>
      </c>
      <c r="F24" s="796" t="s">
        <v>2223</v>
      </c>
      <c r="G24" s="796"/>
      <c r="H24" s="796"/>
      <c r="I24" s="796"/>
      <c r="J24" s="796" t="s">
        <v>561</v>
      </c>
      <c r="K24" s="796" t="s">
        <v>2223</v>
      </c>
      <c r="L24" s="796" t="s">
        <v>2223</v>
      </c>
      <c r="M24" s="796"/>
      <c r="N24" s="796"/>
      <c r="O24" s="796"/>
      <c r="P24" s="796"/>
      <c r="Q24" s="796"/>
      <c r="R24" s="796"/>
      <c r="S24" s="796" t="s">
        <v>562</v>
      </c>
      <c r="T24" s="796" t="s">
        <v>2221</v>
      </c>
      <c r="U24" s="796" t="s">
        <v>2221</v>
      </c>
      <c r="V24" s="796" t="s">
        <v>563</v>
      </c>
      <c r="W24" s="796" t="s">
        <v>2224</v>
      </c>
      <c r="X24" s="796" t="s">
        <v>2224</v>
      </c>
      <c r="Y24" s="796" t="s">
        <v>564</v>
      </c>
      <c r="Z24" s="796" t="s">
        <v>2221</v>
      </c>
      <c r="AA24" s="796" t="s">
        <v>2221</v>
      </c>
      <c r="AB24" s="796" t="s">
        <v>565</v>
      </c>
      <c r="AC24" s="796" t="s">
        <v>2222</v>
      </c>
      <c r="AD24" s="796" t="s">
        <v>2222</v>
      </c>
      <c r="AE24" s="796" t="s">
        <v>566</v>
      </c>
      <c r="AF24" s="796" t="s">
        <v>2222</v>
      </c>
      <c r="AG24" s="796" t="s">
        <v>2222</v>
      </c>
      <c r="AH24" s="796" t="s">
        <v>567</v>
      </c>
      <c r="AI24" s="796"/>
      <c r="AJ24" s="796" t="s">
        <v>2221</v>
      </c>
      <c r="AK24" s="796" t="s">
        <v>568</v>
      </c>
      <c r="AL24" s="796" t="s">
        <v>2222</v>
      </c>
      <c r="AM24" s="796" t="s">
        <v>2222</v>
      </c>
      <c r="AN24" s="796" t="s">
        <v>569</v>
      </c>
      <c r="AO24" s="796" t="s">
        <v>2221</v>
      </c>
      <c r="AP24" s="796" t="s">
        <v>2221</v>
      </c>
      <c r="AQ24" s="796" t="s">
        <v>570</v>
      </c>
      <c r="AR24" s="796" t="s">
        <v>2223</v>
      </c>
      <c r="AS24" s="796" t="s">
        <v>2223</v>
      </c>
      <c r="AT24" s="796" t="s">
        <v>571</v>
      </c>
      <c r="AU24" s="796" t="s">
        <v>2221</v>
      </c>
      <c r="AV24" t="s">
        <v>2221</v>
      </c>
    </row>
    <row r="25" spans="1:48" ht="13.5">
      <c r="A25" s="796" t="s">
        <v>572</v>
      </c>
      <c r="B25" s="796" t="s">
        <v>2221</v>
      </c>
      <c r="C25" s="796" t="s">
        <v>2222</v>
      </c>
      <c r="D25" s="796" t="s">
        <v>573</v>
      </c>
      <c r="E25" s="796" t="s">
        <v>2224</v>
      </c>
      <c r="F25" s="796" t="s">
        <v>2223</v>
      </c>
      <c r="G25" s="796"/>
      <c r="H25" s="796"/>
      <c r="I25" s="796"/>
      <c r="J25" s="796" t="s">
        <v>574</v>
      </c>
      <c r="K25" s="796" t="s">
        <v>2224</v>
      </c>
      <c r="L25" s="796" t="s">
        <v>2224</v>
      </c>
      <c r="M25" s="796"/>
      <c r="N25" s="796"/>
      <c r="O25" s="796"/>
      <c r="P25" s="796"/>
      <c r="Q25" s="796"/>
      <c r="R25" s="796"/>
      <c r="S25" s="796" t="s">
        <v>575</v>
      </c>
      <c r="T25" s="796" t="s">
        <v>2222</v>
      </c>
      <c r="U25" s="796" t="s">
        <v>2222</v>
      </c>
      <c r="V25" s="796" t="s">
        <v>576</v>
      </c>
      <c r="W25" s="796" t="s">
        <v>2223</v>
      </c>
      <c r="X25" s="796" t="s">
        <v>2223</v>
      </c>
      <c r="Y25" s="796" t="s">
        <v>577</v>
      </c>
      <c r="Z25" s="796" t="s">
        <v>2221</v>
      </c>
      <c r="AA25" s="796" t="s">
        <v>2221</v>
      </c>
      <c r="AB25" s="796" t="s">
        <v>578</v>
      </c>
      <c r="AC25" s="796" t="s">
        <v>2221</v>
      </c>
      <c r="AD25" s="796" t="s">
        <v>2221</v>
      </c>
      <c r="AE25" s="796" t="s">
        <v>579</v>
      </c>
      <c r="AF25" s="796" t="s">
        <v>2223</v>
      </c>
      <c r="AG25" s="796" t="s">
        <v>2223</v>
      </c>
      <c r="AH25" s="796" t="s">
        <v>580</v>
      </c>
      <c r="AI25" s="796" t="s">
        <v>2222</v>
      </c>
      <c r="AJ25" s="796" t="s">
        <v>2222</v>
      </c>
      <c r="AK25" s="796" t="s">
        <v>581</v>
      </c>
      <c r="AL25" s="796" t="s">
        <v>2222</v>
      </c>
      <c r="AM25" s="796" t="s">
        <v>2222</v>
      </c>
      <c r="AN25" s="796" t="s">
        <v>582</v>
      </c>
      <c r="AO25" s="796" t="s">
        <v>2223</v>
      </c>
      <c r="AP25" s="796" t="s">
        <v>2222</v>
      </c>
      <c r="AQ25" s="796" t="s">
        <v>583</v>
      </c>
      <c r="AR25" s="796" t="s">
        <v>2225</v>
      </c>
      <c r="AS25" s="796" t="s">
        <v>2224</v>
      </c>
      <c r="AT25" s="796" t="s">
        <v>584</v>
      </c>
      <c r="AU25" s="796" t="s">
        <v>2221</v>
      </c>
      <c r="AV25" t="s">
        <v>2221</v>
      </c>
    </row>
    <row r="26" spans="1:48" ht="13.5">
      <c r="A26" s="796" t="s">
        <v>585</v>
      </c>
      <c r="B26" s="796" t="s">
        <v>2223</v>
      </c>
      <c r="C26" s="796" t="s">
        <v>2223</v>
      </c>
      <c r="D26" s="796" t="s">
        <v>586</v>
      </c>
      <c r="E26" s="796" t="s">
        <v>2221</v>
      </c>
      <c r="F26" s="796"/>
      <c r="G26" s="796"/>
      <c r="H26" s="796"/>
      <c r="I26" s="796"/>
      <c r="J26" s="796" t="s">
        <v>587</v>
      </c>
      <c r="K26" s="796" t="s">
        <v>2225</v>
      </c>
      <c r="L26" s="796" t="s">
        <v>2225</v>
      </c>
      <c r="M26" s="796"/>
      <c r="N26" s="796"/>
      <c r="O26" s="796"/>
      <c r="P26" s="796"/>
      <c r="Q26" s="796"/>
      <c r="R26" s="796"/>
      <c r="S26" s="796" t="s">
        <v>588</v>
      </c>
      <c r="T26" s="796" t="s">
        <v>2223</v>
      </c>
      <c r="U26" s="796" t="s">
        <v>2224</v>
      </c>
      <c r="V26" s="796" t="s">
        <v>589</v>
      </c>
      <c r="W26" s="796" t="s">
        <v>2223</v>
      </c>
      <c r="X26" s="796" t="s">
        <v>2223</v>
      </c>
      <c r="Y26" s="796" t="s">
        <v>590</v>
      </c>
      <c r="Z26" s="796" t="s">
        <v>2221</v>
      </c>
      <c r="AA26" s="796" t="s">
        <v>2221</v>
      </c>
      <c r="AB26" s="796" t="s">
        <v>591</v>
      </c>
      <c r="AC26" s="796" t="s">
        <v>2222</v>
      </c>
      <c r="AD26" s="796" t="s">
        <v>2222</v>
      </c>
      <c r="AE26" s="796" t="s">
        <v>592</v>
      </c>
      <c r="AF26" s="796" t="s">
        <v>2222</v>
      </c>
      <c r="AG26" s="796" t="s">
        <v>2223</v>
      </c>
      <c r="AH26" s="796" t="s">
        <v>593</v>
      </c>
      <c r="AI26" s="796" t="s">
        <v>2221</v>
      </c>
      <c r="AJ26" s="796" t="s">
        <v>2222</v>
      </c>
      <c r="AK26" s="796" t="s">
        <v>594</v>
      </c>
      <c r="AL26" s="796" t="s">
        <v>2221</v>
      </c>
      <c r="AM26" s="796" t="s">
        <v>2221</v>
      </c>
      <c r="AN26" s="796" t="s">
        <v>595</v>
      </c>
      <c r="AO26" s="796" t="s">
        <v>2221</v>
      </c>
      <c r="AP26" s="796" t="s">
        <v>2221</v>
      </c>
      <c r="AQ26" s="796" t="s">
        <v>596</v>
      </c>
      <c r="AR26" s="796" t="s">
        <v>2223</v>
      </c>
      <c r="AS26" s="796" t="s">
        <v>2223</v>
      </c>
      <c r="AT26" s="796" t="s">
        <v>597</v>
      </c>
      <c r="AU26" s="796" t="s">
        <v>2222</v>
      </c>
      <c r="AV26" t="s">
        <v>2222</v>
      </c>
    </row>
    <row r="27" spans="1:48" ht="13.5">
      <c r="A27" s="796" t="s">
        <v>598</v>
      </c>
      <c r="B27" s="796" t="s">
        <v>2224</v>
      </c>
      <c r="C27" s="796" t="s">
        <v>2224</v>
      </c>
      <c r="D27" s="796" t="s">
        <v>599</v>
      </c>
      <c r="E27" s="796" t="s">
        <v>2224</v>
      </c>
      <c r="F27" s="796" t="s">
        <v>2224</v>
      </c>
      <c r="G27" s="796"/>
      <c r="H27" s="796"/>
      <c r="I27" s="796"/>
      <c r="J27" s="796" t="s">
        <v>600</v>
      </c>
      <c r="K27" s="796" t="s">
        <v>2221</v>
      </c>
      <c r="L27" s="796" t="s">
        <v>2221</v>
      </c>
      <c r="M27" s="796"/>
      <c r="N27" s="796"/>
      <c r="O27" s="796"/>
      <c r="P27" s="796"/>
      <c r="Q27" s="796"/>
      <c r="R27" s="796"/>
      <c r="S27" s="796" t="s">
        <v>601</v>
      </c>
      <c r="T27" s="796" t="s">
        <v>2221</v>
      </c>
      <c r="U27" s="796" t="s">
        <v>2222</v>
      </c>
      <c r="V27" s="796" t="s">
        <v>602</v>
      </c>
      <c r="W27" s="796" t="s">
        <v>2223</v>
      </c>
      <c r="X27" s="796" t="s">
        <v>2223</v>
      </c>
      <c r="Y27" s="796" t="s">
        <v>603</v>
      </c>
      <c r="Z27" s="796" t="s">
        <v>2221</v>
      </c>
      <c r="AA27" s="796" t="s">
        <v>2221</v>
      </c>
      <c r="AB27" s="796" t="s">
        <v>604</v>
      </c>
      <c r="AC27" s="796" t="s">
        <v>2221</v>
      </c>
      <c r="AD27" s="796" t="s">
        <v>2222</v>
      </c>
      <c r="AE27" s="796" t="s">
        <v>605</v>
      </c>
      <c r="AF27" s="796" t="s">
        <v>2221</v>
      </c>
      <c r="AG27" s="796" t="s">
        <v>2221</v>
      </c>
      <c r="AH27" s="796" t="s">
        <v>606</v>
      </c>
      <c r="AI27" s="796" t="s">
        <v>2222</v>
      </c>
      <c r="AJ27" s="796" t="s">
        <v>2222</v>
      </c>
      <c r="AK27" s="796" t="s">
        <v>607</v>
      </c>
      <c r="AL27" s="796" t="s">
        <v>2222</v>
      </c>
      <c r="AM27" s="796" t="s">
        <v>2222</v>
      </c>
      <c r="AN27" s="796" t="s">
        <v>608</v>
      </c>
      <c r="AO27" s="796" t="s">
        <v>2222</v>
      </c>
      <c r="AP27" s="796" t="s">
        <v>2222</v>
      </c>
      <c r="AQ27" s="796" t="s">
        <v>609</v>
      </c>
      <c r="AR27" s="796" t="s">
        <v>2223</v>
      </c>
      <c r="AS27" s="796" t="s">
        <v>2223</v>
      </c>
      <c r="AT27" s="796" t="s">
        <v>610</v>
      </c>
      <c r="AU27" s="796" t="s">
        <v>2221</v>
      </c>
      <c r="AV27" t="s">
        <v>2222</v>
      </c>
    </row>
    <row r="28" spans="1:48" ht="13.5">
      <c r="A28" s="796" t="s">
        <v>611</v>
      </c>
      <c r="B28" s="796" t="s">
        <v>2223</v>
      </c>
      <c r="C28" s="796" t="s">
        <v>2223</v>
      </c>
      <c r="D28" s="796" t="s">
        <v>612</v>
      </c>
      <c r="E28" s="796" t="s">
        <v>2222</v>
      </c>
      <c r="F28" s="796" t="s">
        <v>2222</v>
      </c>
      <c r="G28" s="796"/>
      <c r="H28" s="796"/>
      <c r="I28" s="796"/>
      <c r="J28" s="796" t="s">
        <v>613</v>
      </c>
      <c r="K28" s="796" t="s">
        <v>2224</v>
      </c>
      <c r="L28" s="796" t="s">
        <v>2225</v>
      </c>
      <c r="M28" s="796"/>
      <c r="N28" s="796"/>
      <c r="O28" s="796"/>
      <c r="P28" s="796"/>
      <c r="Q28" s="796"/>
      <c r="R28" s="796"/>
      <c r="S28" s="796" t="s">
        <v>614</v>
      </c>
      <c r="T28" s="796" t="s">
        <v>2222</v>
      </c>
      <c r="U28" s="796" t="s">
        <v>2223</v>
      </c>
      <c r="V28" s="796" t="s">
        <v>615</v>
      </c>
      <c r="W28" s="796" t="s">
        <v>2223</v>
      </c>
      <c r="X28" s="796" t="s">
        <v>2223</v>
      </c>
      <c r="Y28" s="796" t="s">
        <v>616</v>
      </c>
      <c r="Z28" s="796" t="s">
        <v>2222</v>
      </c>
      <c r="AA28" s="796" t="s">
        <v>2222</v>
      </c>
      <c r="AB28" s="796" t="s">
        <v>617</v>
      </c>
      <c r="AC28" s="796" t="s">
        <v>2222</v>
      </c>
      <c r="AD28" s="796" t="s">
        <v>2222</v>
      </c>
      <c r="AE28" s="796" t="s">
        <v>618</v>
      </c>
      <c r="AF28" s="796" t="s">
        <v>2221</v>
      </c>
      <c r="AG28" s="796" t="s">
        <v>2221</v>
      </c>
      <c r="AH28" s="796" t="s">
        <v>619</v>
      </c>
      <c r="AI28" s="796"/>
      <c r="AJ28" s="796" t="s">
        <v>2221</v>
      </c>
      <c r="AK28" s="796" t="s">
        <v>620</v>
      </c>
      <c r="AL28" s="796" t="s">
        <v>2221</v>
      </c>
      <c r="AM28" s="796" t="s">
        <v>2222</v>
      </c>
      <c r="AN28" s="796" t="s">
        <v>621</v>
      </c>
      <c r="AO28" s="796" t="s">
        <v>2221</v>
      </c>
      <c r="AP28" s="796" t="s">
        <v>2221</v>
      </c>
      <c r="AQ28" s="796" t="s">
        <v>622</v>
      </c>
      <c r="AR28" s="796" t="s">
        <v>2224</v>
      </c>
      <c r="AS28" s="796" t="s">
        <v>2224</v>
      </c>
      <c r="AT28" s="796" t="s">
        <v>623</v>
      </c>
      <c r="AU28" s="796" t="s">
        <v>2222</v>
      </c>
      <c r="AV28" t="s">
        <v>2222</v>
      </c>
    </row>
    <row r="29" spans="1:48" ht="13.5">
      <c r="A29" s="796" t="s">
        <v>624</v>
      </c>
      <c r="B29" s="796" t="s">
        <v>2225</v>
      </c>
      <c r="C29" s="796" t="s">
        <v>2225</v>
      </c>
      <c r="D29" s="796" t="s">
        <v>625</v>
      </c>
      <c r="E29" s="796" t="s">
        <v>2223</v>
      </c>
      <c r="F29" s="796" t="s">
        <v>2223</v>
      </c>
      <c r="G29" s="796"/>
      <c r="H29" s="796"/>
      <c r="I29" s="796"/>
      <c r="J29" s="796" t="s">
        <v>626</v>
      </c>
      <c r="K29" s="796" t="s">
        <v>2222</v>
      </c>
      <c r="L29" s="796" t="s">
        <v>2222</v>
      </c>
      <c r="M29" s="796"/>
      <c r="N29" s="796"/>
      <c r="O29" s="796"/>
      <c r="P29" s="796"/>
      <c r="Q29" s="796"/>
      <c r="R29" s="796"/>
      <c r="S29" s="796" t="s">
        <v>627</v>
      </c>
      <c r="T29" s="796" t="s">
        <v>2222</v>
      </c>
      <c r="U29" s="796" t="s">
        <v>2222</v>
      </c>
      <c r="V29" s="796" t="s">
        <v>628</v>
      </c>
      <c r="W29" s="796" t="s">
        <v>2223</v>
      </c>
      <c r="X29" s="796" t="s">
        <v>2223</v>
      </c>
      <c r="Y29" s="796" t="s">
        <v>629</v>
      </c>
      <c r="Z29" s="796" t="s">
        <v>2222</v>
      </c>
      <c r="AA29" s="796" t="s">
        <v>2222</v>
      </c>
      <c r="AB29" s="796" t="s">
        <v>630</v>
      </c>
      <c r="AC29" s="796" t="s">
        <v>2223</v>
      </c>
      <c r="AD29" s="796" t="s">
        <v>2223</v>
      </c>
      <c r="AE29" s="796" t="s">
        <v>631</v>
      </c>
      <c r="AF29" s="796" t="s">
        <v>2222</v>
      </c>
      <c r="AG29" s="796" t="s">
        <v>2222</v>
      </c>
      <c r="AH29" s="796" t="s">
        <v>632</v>
      </c>
      <c r="AI29" s="796" t="s">
        <v>2221</v>
      </c>
      <c r="AJ29" s="796" t="s">
        <v>2221</v>
      </c>
      <c r="AK29" s="796" t="s">
        <v>633</v>
      </c>
      <c r="AL29" s="796" t="s">
        <v>2222</v>
      </c>
      <c r="AM29" s="796" t="s">
        <v>2222</v>
      </c>
      <c r="AN29" s="796" t="s">
        <v>634</v>
      </c>
      <c r="AO29" s="796" t="s">
        <v>2221</v>
      </c>
      <c r="AP29" s="796" t="s">
        <v>2221</v>
      </c>
      <c r="AQ29" s="796" t="s">
        <v>635</v>
      </c>
      <c r="AR29" s="796" t="s">
        <v>2225</v>
      </c>
      <c r="AS29" s="796" t="s">
        <v>2225</v>
      </c>
      <c r="AT29" s="796" t="s">
        <v>636</v>
      </c>
      <c r="AU29" s="796" t="s">
        <v>2221</v>
      </c>
      <c r="AV29" t="s">
        <v>2221</v>
      </c>
    </row>
    <row r="30" spans="1:48" ht="13.5">
      <c r="A30" s="796" t="s">
        <v>637</v>
      </c>
      <c r="B30" s="796" t="s">
        <v>2223</v>
      </c>
      <c r="C30" s="796" t="s">
        <v>2223</v>
      </c>
      <c r="D30" s="796" t="s">
        <v>638</v>
      </c>
      <c r="E30" s="796" t="s">
        <v>2222</v>
      </c>
      <c r="F30" s="796" t="s">
        <v>2221</v>
      </c>
      <c r="G30" s="796"/>
      <c r="H30" s="796"/>
      <c r="I30" s="796"/>
      <c r="J30" s="796" t="s">
        <v>639</v>
      </c>
      <c r="K30" s="796" t="s">
        <v>2223</v>
      </c>
      <c r="L30" s="796" t="s">
        <v>2223</v>
      </c>
      <c r="M30" s="796"/>
      <c r="N30" s="796"/>
      <c r="O30" s="796"/>
      <c r="P30" s="796"/>
      <c r="Q30" s="796"/>
      <c r="R30" s="796"/>
      <c r="S30" s="796" t="s">
        <v>640</v>
      </c>
      <c r="T30" s="796" t="s">
        <v>2224</v>
      </c>
      <c r="U30" s="796" t="s">
        <v>2225</v>
      </c>
      <c r="Y30" s="796" t="s">
        <v>641</v>
      </c>
      <c r="Z30" s="796" t="s">
        <v>2221</v>
      </c>
      <c r="AA30" s="796" t="s">
        <v>2221</v>
      </c>
      <c r="AB30" s="796" t="s">
        <v>642</v>
      </c>
      <c r="AC30" s="796" t="s">
        <v>2222</v>
      </c>
      <c r="AD30" s="796" t="s">
        <v>2222</v>
      </c>
      <c r="AE30" s="796" t="s">
        <v>643</v>
      </c>
      <c r="AF30" s="796" t="s">
        <v>2222</v>
      </c>
      <c r="AG30" s="796" t="s">
        <v>2222</v>
      </c>
      <c r="AH30" s="796" t="s">
        <v>644</v>
      </c>
      <c r="AI30" s="796" t="s">
        <v>2223</v>
      </c>
      <c r="AJ30" s="796" t="s">
        <v>2222</v>
      </c>
      <c r="AK30" s="796" t="s">
        <v>645</v>
      </c>
      <c r="AL30" s="796" t="s">
        <v>2222</v>
      </c>
      <c r="AM30" s="796" t="s">
        <v>2222</v>
      </c>
      <c r="AN30" s="796" t="s">
        <v>646</v>
      </c>
      <c r="AO30" s="796" t="s">
        <v>2221</v>
      </c>
      <c r="AP30" s="796" t="s">
        <v>2221</v>
      </c>
      <c r="AQ30" s="796" t="s">
        <v>647</v>
      </c>
      <c r="AR30" s="796" t="s">
        <v>2221</v>
      </c>
      <c r="AS30" s="796" t="s">
        <v>2221</v>
      </c>
      <c r="AT30" s="796" t="s">
        <v>648</v>
      </c>
      <c r="AU30" s="796" t="s">
        <v>2221</v>
      </c>
      <c r="AV30" t="s">
        <v>2221</v>
      </c>
    </row>
    <row r="31" spans="1:48" ht="13.5">
      <c r="A31" s="796" t="s">
        <v>649</v>
      </c>
      <c r="B31" s="796" t="s">
        <v>2222</v>
      </c>
      <c r="C31" s="796" t="s">
        <v>2222</v>
      </c>
      <c r="D31" s="796" t="s">
        <v>650</v>
      </c>
      <c r="E31" s="796" t="s">
        <v>2222</v>
      </c>
      <c r="F31" s="796" t="s">
        <v>2221</v>
      </c>
      <c r="G31" s="796"/>
      <c r="H31" s="796"/>
      <c r="I31" s="796"/>
      <c r="J31" s="796" t="s">
        <v>651</v>
      </c>
      <c r="K31" s="796" t="s">
        <v>2222</v>
      </c>
      <c r="L31" s="796" t="s">
        <v>2222</v>
      </c>
      <c r="M31" s="796"/>
      <c r="N31" s="796"/>
      <c r="O31" s="796"/>
      <c r="P31" s="796"/>
      <c r="Q31" s="796"/>
      <c r="R31" s="796"/>
      <c r="S31" s="796" t="s">
        <v>652</v>
      </c>
      <c r="T31" s="796" t="s">
        <v>2222</v>
      </c>
      <c r="U31" s="796" t="s">
        <v>2222</v>
      </c>
      <c r="V31" s="796"/>
      <c r="W31" s="796"/>
      <c r="X31" s="796"/>
      <c r="Y31" s="796" t="s">
        <v>653</v>
      </c>
      <c r="Z31" s="796" t="s">
        <v>2224</v>
      </c>
      <c r="AA31" s="796" t="s">
        <v>2224</v>
      </c>
      <c r="AB31" s="796" t="s">
        <v>654</v>
      </c>
      <c r="AC31" s="796" t="s">
        <v>2223</v>
      </c>
      <c r="AD31" s="796" t="s">
        <v>2223</v>
      </c>
      <c r="AE31" s="796" t="s">
        <v>655</v>
      </c>
      <c r="AF31" s="796" t="s">
        <v>2221</v>
      </c>
      <c r="AG31" s="796" t="s">
        <v>2221</v>
      </c>
      <c r="AH31" s="796" t="s">
        <v>656</v>
      </c>
      <c r="AI31" s="796" t="s">
        <v>2221</v>
      </c>
      <c r="AJ31" s="796" t="s">
        <v>2222</v>
      </c>
      <c r="AK31" s="796" t="s">
        <v>657</v>
      </c>
      <c r="AL31" s="796" t="s">
        <v>2222</v>
      </c>
      <c r="AM31" s="796" t="s">
        <v>2222</v>
      </c>
      <c r="AN31" s="796" t="s">
        <v>658</v>
      </c>
      <c r="AO31" s="796" t="s">
        <v>2222</v>
      </c>
      <c r="AP31" s="796" t="s">
        <v>2222</v>
      </c>
      <c r="AQ31" s="796" t="s">
        <v>659</v>
      </c>
      <c r="AR31" s="796" t="s">
        <v>2223</v>
      </c>
      <c r="AS31" s="796" t="s">
        <v>2223</v>
      </c>
      <c r="AT31" s="796" t="s">
        <v>660</v>
      </c>
      <c r="AU31" s="796" t="s">
        <v>2221</v>
      </c>
      <c r="AV31" t="s">
        <v>2221</v>
      </c>
    </row>
    <row r="32" spans="1:48" ht="13.5">
      <c r="A32" s="796" t="s">
        <v>661</v>
      </c>
      <c r="B32" s="796" t="s">
        <v>2224</v>
      </c>
      <c r="C32" s="796" t="s">
        <v>2224</v>
      </c>
      <c r="D32" s="796" t="s">
        <v>662</v>
      </c>
      <c r="E32" s="796" t="s">
        <v>2221</v>
      </c>
      <c r="F32" s="796" t="s">
        <v>2222</v>
      </c>
      <c r="G32" s="796"/>
      <c r="H32" s="796"/>
      <c r="I32" s="796"/>
      <c r="J32" s="796" t="s">
        <v>663</v>
      </c>
      <c r="K32" s="796" t="s">
        <v>2222</v>
      </c>
      <c r="L32" s="796" t="s">
        <v>2222</v>
      </c>
      <c r="M32" s="796"/>
      <c r="N32" s="796"/>
      <c r="O32" s="796"/>
      <c r="P32" s="796"/>
      <c r="Q32" s="796"/>
      <c r="R32" s="796"/>
      <c r="S32" s="796" t="s">
        <v>664</v>
      </c>
      <c r="T32" s="796" t="s">
        <v>2226</v>
      </c>
      <c r="U32" s="796" t="s">
        <v>2226</v>
      </c>
      <c r="V32" s="796"/>
      <c r="W32" s="796"/>
      <c r="X32" s="796"/>
      <c r="Y32" s="796" t="s">
        <v>665</v>
      </c>
      <c r="Z32" s="796" t="s">
        <v>2222</v>
      </c>
      <c r="AA32" s="796" t="s">
        <v>2222</v>
      </c>
      <c r="AB32" s="796" t="s">
        <v>666</v>
      </c>
      <c r="AC32" s="796" t="s">
        <v>2225</v>
      </c>
      <c r="AD32" s="796" t="s">
        <v>2225</v>
      </c>
      <c r="AE32" s="796" t="s">
        <v>667</v>
      </c>
      <c r="AF32" s="796" t="s">
        <v>2221</v>
      </c>
      <c r="AG32" s="796" t="s">
        <v>2221</v>
      </c>
      <c r="AH32" s="796" t="s">
        <v>668</v>
      </c>
      <c r="AI32" s="796" t="s">
        <v>2221</v>
      </c>
      <c r="AJ32" s="796" t="s">
        <v>2221</v>
      </c>
      <c r="AK32" s="796" t="s">
        <v>669</v>
      </c>
      <c r="AL32" s="796" t="s">
        <v>2222</v>
      </c>
      <c r="AM32" s="796" t="s">
        <v>2222</v>
      </c>
      <c r="AN32" s="796" t="s">
        <v>670</v>
      </c>
      <c r="AO32" s="796" t="s">
        <v>2221</v>
      </c>
      <c r="AP32" s="796" t="s">
        <v>2221</v>
      </c>
      <c r="AQ32" s="796" t="s">
        <v>671</v>
      </c>
      <c r="AR32" s="796" t="s">
        <v>2222</v>
      </c>
      <c r="AS32" s="796" t="s">
        <v>2222</v>
      </c>
      <c r="AT32" s="796" t="s">
        <v>672</v>
      </c>
      <c r="AU32" s="796" t="s">
        <v>2221</v>
      </c>
      <c r="AV32" t="s">
        <v>2221</v>
      </c>
    </row>
    <row r="33" spans="1:48" ht="13.5">
      <c r="A33" s="796" t="s">
        <v>673</v>
      </c>
      <c r="B33" s="796" t="s">
        <v>2221</v>
      </c>
      <c r="C33" s="796"/>
      <c r="D33" s="796" t="s">
        <v>674</v>
      </c>
      <c r="E33" s="796" t="s">
        <v>2222</v>
      </c>
      <c r="F33" s="796" t="s">
        <v>2222</v>
      </c>
      <c r="G33" s="796"/>
      <c r="H33" s="796"/>
      <c r="I33" s="796"/>
      <c r="J33" s="796" t="s">
        <v>675</v>
      </c>
      <c r="K33" s="796" t="s">
        <v>2221</v>
      </c>
      <c r="L33" s="796" t="s">
        <v>2221</v>
      </c>
      <c r="M33" s="796"/>
      <c r="N33" s="796"/>
      <c r="O33" s="796"/>
      <c r="P33" s="796"/>
      <c r="Q33" s="796"/>
      <c r="R33" s="796"/>
      <c r="S33" s="796" t="s">
        <v>676</v>
      </c>
      <c r="T33" s="796" t="s">
        <v>2221</v>
      </c>
      <c r="U33" s="796" t="s">
        <v>2221</v>
      </c>
      <c r="V33" s="796"/>
      <c r="W33" s="796"/>
      <c r="X33" s="796"/>
      <c r="Y33" s="796" t="s">
        <v>677</v>
      </c>
      <c r="Z33" s="796" t="s">
        <v>2226</v>
      </c>
      <c r="AA33" s="796" t="s">
        <v>2226</v>
      </c>
      <c r="AB33" s="796" t="s">
        <v>678</v>
      </c>
      <c r="AC33" s="796" t="s">
        <v>2223</v>
      </c>
      <c r="AD33" s="796" t="s">
        <v>2223</v>
      </c>
      <c r="AE33" s="796" t="s">
        <v>679</v>
      </c>
      <c r="AF33" s="796" t="s">
        <v>2221</v>
      </c>
      <c r="AG33" s="796" t="s">
        <v>2221</v>
      </c>
      <c r="AH33" s="796" t="s">
        <v>680</v>
      </c>
      <c r="AI33" s="796" t="s">
        <v>2222</v>
      </c>
      <c r="AJ33" s="796" t="s">
        <v>2222</v>
      </c>
      <c r="AK33" s="796" t="s">
        <v>681</v>
      </c>
      <c r="AL33" s="796" t="s">
        <v>2221</v>
      </c>
      <c r="AM33" s="796" t="s">
        <v>2221</v>
      </c>
      <c r="AN33" s="796" t="s">
        <v>682</v>
      </c>
      <c r="AO33" s="796" t="s">
        <v>2222</v>
      </c>
      <c r="AP33" s="796" t="s">
        <v>2222</v>
      </c>
      <c r="AQ33" s="796" t="s">
        <v>683</v>
      </c>
      <c r="AR33" s="796" t="s">
        <v>2223</v>
      </c>
      <c r="AS33" s="796" t="s">
        <v>2223</v>
      </c>
      <c r="AT33" s="796" t="s">
        <v>684</v>
      </c>
      <c r="AU33" s="796" t="s">
        <v>2221</v>
      </c>
      <c r="AV33" t="s">
        <v>2221</v>
      </c>
    </row>
    <row r="34" spans="1:48" ht="13.5">
      <c r="A34" s="796" t="s">
        <v>685</v>
      </c>
      <c r="B34" s="796" t="s">
        <v>2226</v>
      </c>
      <c r="C34" s="796" t="s">
        <v>2225</v>
      </c>
      <c r="D34" s="796" t="s">
        <v>686</v>
      </c>
      <c r="E34" s="796" t="s">
        <v>2221</v>
      </c>
      <c r="F34" s="796" t="s">
        <v>2221</v>
      </c>
      <c r="G34" s="796"/>
      <c r="H34" s="796"/>
      <c r="I34" s="796"/>
      <c r="J34" s="796" t="s">
        <v>687</v>
      </c>
      <c r="K34" s="796" t="s">
        <v>2222</v>
      </c>
      <c r="L34" s="796" t="s">
        <v>2222</v>
      </c>
      <c r="M34" s="796"/>
      <c r="N34" s="796"/>
      <c r="O34" s="796"/>
      <c r="P34" s="796"/>
      <c r="Q34" s="796"/>
      <c r="R34" s="796"/>
      <c r="S34" s="796" t="s">
        <v>688</v>
      </c>
      <c r="T34" s="796" t="s">
        <v>2224</v>
      </c>
      <c r="U34" s="796" t="s">
        <v>2224</v>
      </c>
      <c r="V34" s="796"/>
      <c r="W34" s="796"/>
      <c r="X34" s="796"/>
      <c r="Y34" s="796" t="s">
        <v>689</v>
      </c>
      <c r="Z34" s="796" t="s">
        <v>2222</v>
      </c>
      <c r="AA34" s="796" t="s">
        <v>2222</v>
      </c>
      <c r="AB34" s="796" t="s">
        <v>690</v>
      </c>
      <c r="AC34" s="796" t="s">
        <v>2222</v>
      </c>
      <c r="AD34" s="796" t="s">
        <v>2222</v>
      </c>
      <c r="AE34" s="796" t="s">
        <v>691</v>
      </c>
      <c r="AF34" s="796" t="s">
        <v>2221</v>
      </c>
      <c r="AG34" s="796" t="s">
        <v>2221</v>
      </c>
      <c r="AH34" s="796" t="s">
        <v>692</v>
      </c>
      <c r="AI34" s="796" t="s">
        <v>2223</v>
      </c>
      <c r="AJ34" s="796" t="s">
        <v>2223</v>
      </c>
      <c r="AK34" s="796" t="s">
        <v>693</v>
      </c>
      <c r="AL34" s="796" t="s">
        <v>2221</v>
      </c>
      <c r="AM34" s="796" t="s">
        <v>2221</v>
      </c>
      <c r="AN34" s="796" t="s">
        <v>694</v>
      </c>
      <c r="AO34" s="796" t="s">
        <v>2222</v>
      </c>
      <c r="AP34" s="796" t="s">
        <v>2222</v>
      </c>
      <c r="AQ34" s="796" t="s">
        <v>695</v>
      </c>
      <c r="AR34" s="796" t="s">
        <v>2223</v>
      </c>
      <c r="AS34" s="796" t="s">
        <v>2224</v>
      </c>
      <c r="AT34" s="796" t="s">
        <v>696</v>
      </c>
      <c r="AU34" s="796" t="s">
        <v>2221</v>
      </c>
      <c r="AV34" t="s">
        <v>2222</v>
      </c>
    </row>
    <row r="35" spans="1:48" ht="13.5">
      <c r="A35" s="796" t="s">
        <v>697</v>
      </c>
      <c r="B35" s="796" t="s">
        <v>2222</v>
      </c>
      <c r="C35" s="796" t="s">
        <v>2222</v>
      </c>
      <c r="D35" s="796" t="s">
        <v>698</v>
      </c>
      <c r="E35" s="796" t="s">
        <v>2222</v>
      </c>
      <c r="F35" s="796" t="s">
        <v>2222</v>
      </c>
      <c r="G35" s="796"/>
      <c r="H35" s="796"/>
      <c r="I35" s="796"/>
      <c r="J35" s="796" t="s">
        <v>699</v>
      </c>
      <c r="K35" s="796" t="s">
        <v>2221</v>
      </c>
      <c r="L35" s="796" t="s">
        <v>2221</v>
      </c>
      <c r="M35" s="796"/>
      <c r="N35" s="796"/>
      <c r="O35" s="796"/>
      <c r="P35" s="796"/>
      <c r="Q35" s="796"/>
      <c r="R35" s="796"/>
      <c r="S35" s="796" t="s">
        <v>700</v>
      </c>
      <c r="T35" s="796" t="s">
        <v>2226</v>
      </c>
      <c r="U35" s="796" t="s">
        <v>2225</v>
      </c>
      <c r="V35" s="796"/>
      <c r="W35" s="796"/>
      <c r="X35" s="796"/>
      <c r="Y35" s="796" t="s">
        <v>701</v>
      </c>
      <c r="Z35" s="796" t="s">
        <v>2223</v>
      </c>
      <c r="AA35" s="796" t="s">
        <v>2223</v>
      </c>
      <c r="AB35" s="796" t="s">
        <v>702</v>
      </c>
      <c r="AC35" s="796" t="s">
        <v>2221</v>
      </c>
      <c r="AD35" s="796" t="s">
        <v>2221</v>
      </c>
      <c r="AE35" s="796" t="s">
        <v>703</v>
      </c>
      <c r="AF35" s="796" t="s">
        <v>2221</v>
      </c>
      <c r="AG35" s="796" t="s">
        <v>2222</v>
      </c>
      <c r="AH35" s="796" t="s">
        <v>704</v>
      </c>
      <c r="AI35" s="796" t="s">
        <v>2222</v>
      </c>
      <c r="AJ35" s="796" t="s">
        <v>2223</v>
      </c>
      <c r="AK35" s="796" t="s">
        <v>705</v>
      </c>
      <c r="AL35" s="796" t="s">
        <v>2221</v>
      </c>
      <c r="AM35" s="796" t="s">
        <v>2221</v>
      </c>
      <c r="AN35" s="796" t="s">
        <v>706</v>
      </c>
      <c r="AO35" s="796" t="s">
        <v>2221</v>
      </c>
      <c r="AP35" s="796" t="s">
        <v>2221</v>
      </c>
      <c r="AQ35" s="796" t="s">
        <v>707</v>
      </c>
      <c r="AR35" s="796" t="s">
        <v>2223</v>
      </c>
      <c r="AS35" s="796" t="s">
        <v>2223</v>
      </c>
      <c r="AT35" s="796" t="s">
        <v>708</v>
      </c>
      <c r="AU35" s="796" t="s">
        <v>2221</v>
      </c>
      <c r="AV35" t="s">
        <v>2221</v>
      </c>
    </row>
    <row r="36" spans="1:48" ht="13.5">
      <c r="A36" s="796" t="s">
        <v>709</v>
      </c>
      <c r="B36" s="796" t="s">
        <v>2223</v>
      </c>
      <c r="C36" s="796" t="s">
        <v>2223</v>
      </c>
      <c r="D36" s="796" t="s">
        <v>710</v>
      </c>
      <c r="E36" s="796" t="s">
        <v>2427</v>
      </c>
      <c r="F36" s="796" t="s">
        <v>2226</v>
      </c>
      <c r="G36" s="796"/>
      <c r="H36" s="796"/>
      <c r="I36" s="796"/>
      <c r="J36" s="796" t="s">
        <v>711</v>
      </c>
      <c r="K36" s="796" t="s">
        <v>2222</v>
      </c>
      <c r="L36" s="796" t="s">
        <v>2222</v>
      </c>
      <c r="M36" s="796"/>
      <c r="N36" s="796"/>
      <c r="O36" s="796"/>
      <c r="P36" s="796"/>
      <c r="Q36" s="796"/>
      <c r="R36" s="796"/>
      <c r="S36" s="796" t="s">
        <v>712</v>
      </c>
      <c r="T36" s="796" t="s">
        <v>2222</v>
      </c>
      <c r="U36" s="796" t="s">
        <v>2222</v>
      </c>
      <c r="V36" s="796"/>
      <c r="W36" s="796"/>
      <c r="X36" s="796"/>
      <c r="Y36" s="796" t="s">
        <v>713</v>
      </c>
      <c r="Z36" s="796" t="s">
        <v>2225</v>
      </c>
      <c r="AA36" s="796" t="s">
        <v>2224</v>
      </c>
      <c r="AB36" s="796" t="s">
        <v>714</v>
      </c>
      <c r="AC36" s="796" t="s">
        <v>2221</v>
      </c>
      <c r="AD36" s="796" t="s">
        <v>2221</v>
      </c>
      <c r="AE36" s="796" t="s">
        <v>715</v>
      </c>
      <c r="AF36" s="796" t="s">
        <v>2221</v>
      </c>
      <c r="AG36" s="796" t="s">
        <v>2221</v>
      </c>
      <c r="AH36" s="796" t="s">
        <v>716</v>
      </c>
      <c r="AI36" s="796" t="s">
        <v>2221</v>
      </c>
      <c r="AJ36" s="796" t="s">
        <v>2221</v>
      </c>
      <c r="AK36" s="796" t="s">
        <v>717</v>
      </c>
      <c r="AL36" s="796" t="s">
        <v>2221</v>
      </c>
      <c r="AM36" s="796" t="s">
        <v>2221</v>
      </c>
      <c r="AN36" s="796" t="s">
        <v>718</v>
      </c>
      <c r="AO36" s="796" t="s">
        <v>2221</v>
      </c>
      <c r="AP36" s="796" t="s">
        <v>2221</v>
      </c>
      <c r="AQ36" s="796" t="s">
        <v>719</v>
      </c>
      <c r="AR36" s="796" t="s">
        <v>2222</v>
      </c>
      <c r="AS36" s="796" t="s">
        <v>2222</v>
      </c>
      <c r="AT36" s="796" t="s">
        <v>720</v>
      </c>
      <c r="AU36" s="796" t="s">
        <v>2222</v>
      </c>
      <c r="AV36" t="s">
        <v>2222</v>
      </c>
    </row>
    <row r="37" spans="1:48" ht="13.5">
      <c r="A37" s="796" t="s">
        <v>721</v>
      </c>
      <c r="B37" s="796" t="s">
        <v>2224</v>
      </c>
      <c r="C37" s="796" t="s">
        <v>2224</v>
      </c>
      <c r="D37" s="796" t="s">
        <v>722</v>
      </c>
      <c r="E37" s="796" t="s">
        <v>2222</v>
      </c>
      <c r="F37" s="796" t="s">
        <v>2222</v>
      </c>
      <c r="G37" s="796"/>
      <c r="H37" s="796"/>
      <c r="I37" s="796"/>
      <c r="J37" s="796" t="s">
        <v>723</v>
      </c>
      <c r="K37" s="796" t="s">
        <v>2221</v>
      </c>
      <c r="L37" s="796" t="s">
        <v>2222</v>
      </c>
      <c r="M37" s="796"/>
      <c r="N37" s="796"/>
      <c r="O37" s="796"/>
      <c r="P37" s="796"/>
      <c r="Q37" s="796"/>
      <c r="R37" s="796"/>
      <c r="S37" s="796" t="s">
        <v>724</v>
      </c>
      <c r="T37" s="796" t="s">
        <v>2225</v>
      </c>
      <c r="U37" s="796" t="s">
        <v>2225</v>
      </c>
      <c r="V37" s="796"/>
      <c r="W37" s="796"/>
      <c r="X37" s="796"/>
      <c r="Y37" s="796" t="s">
        <v>725</v>
      </c>
      <c r="Z37" s="796" t="s">
        <v>2225</v>
      </c>
      <c r="AA37" s="796" t="s">
        <v>2225</v>
      </c>
      <c r="AB37" s="796" t="s">
        <v>726</v>
      </c>
      <c r="AC37" s="796" t="s">
        <v>2223</v>
      </c>
      <c r="AD37" s="796" t="s">
        <v>2223</v>
      </c>
      <c r="AE37" s="796" t="s">
        <v>727</v>
      </c>
      <c r="AF37" s="796" t="s">
        <v>2222</v>
      </c>
      <c r="AG37" s="796" t="s">
        <v>2222</v>
      </c>
      <c r="AH37" s="796" t="s">
        <v>728</v>
      </c>
      <c r="AI37" s="796" t="s">
        <v>2222</v>
      </c>
      <c r="AJ37" s="796" t="s">
        <v>2222</v>
      </c>
      <c r="AK37" s="796" t="s">
        <v>729</v>
      </c>
      <c r="AL37" s="796" t="s">
        <v>2222</v>
      </c>
      <c r="AM37" s="796" t="s">
        <v>2222</v>
      </c>
      <c r="AN37" s="796" t="s">
        <v>730</v>
      </c>
      <c r="AO37" s="796" t="s">
        <v>2221</v>
      </c>
      <c r="AP37" s="796" t="s">
        <v>2221</v>
      </c>
      <c r="AQ37" s="796" t="s">
        <v>731</v>
      </c>
      <c r="AR37" s="796" t="s">
        <v>2221</v>
      </c>
      <c r="AS37" s="796" t="s">
        <v>2221</v>
      </c>
      <c r="AT37" s="796" t="s">
        <v>732</v>
      </c>
      <c r="AU37" s="796" t="s">
        <v>2222</v>
      </c>
      <c r="AV37" t="s">
        <v>2222</v>
      </c>
    </row>
    <row r="38" spans="1:48" ht="13.5">
      <c r="A38" s="796" t="s">
        <v>733</v>
      </c>
      <c r="B38" s="796" t="s">
        <v>2223</v>
      </c>
      <c r="C38" s="796" t="s">
        <v>2223</v>
      </c>
      <c r="D38" s="796" t="s">
        <v>734</v>
      </c>
      <c r="E38" s="796" t="s">
        <v>2223</v>
      </c>
      <c r="F38" s="796"/>
      <c r="G38" s="796"/>
      <c r="H38" s="796"/>
      <c r="I38" s="796"/>
      <c r="J38" s="796" t="s">
        <v>735</v>
      </c>
      <c r="K38" s="796" t="s">
        <v>2222</v>
      </c>
      <c r="L38" s="796" t="s">
        <v>2222</v>
      </c>
      <c r="M38" s="796"/>
      <c r="N38" s="796"/>
      <c r="O38" s="796"/>
      <c r="P38" s="796"/>
      <c r="Q38" s="796"/>
      <c r="R38" s="796"/>
      <c r="S38" s="796" t="s">
        <v>736</v>
      </c>
      <c r="T38" s="796" t="s">
        <v>2226</v>
      </c>
      <c r="U38" s="796" t="s">
        <v>2225</v>
      </c>
      <c r="V38" s="796"/>
      <c r="W38" s="796"/>
      <c r="X38" s="796"/>
      <c r="Y38" s="796" t="s">
        <v>737</v>
      </c>
      <c r="Z38" s="796" t="s">
        <v>2223</v>
      </c>
      <c r="AA38" s="796" t="s">
        <v>2223</v>
      </c>
      <c r="AB38" s="796" t="s">
        <v>738</v>
      </c>
      <c r="AC38" s="796" t="s">
        <v>2221</v>
      </c>
      <c r="AD38" s="796" t="s">
        <v>2222</v>
      </c>
      <c r="AE38" s="796" t="s">
        <v>739</v>
      </c>
      <c r="AF38" s="796" t="s">
        <v>2221</v>
      </c>
      <c r="AG38" s="796" t="s">
        <v>2222</v>
      </c>
      <c r="AH38" s="796" t="s">
        <v>740</v>
      </c>
      <c r="AI38" s="796" t="s">
        <v>2222</v>
      </c>
      <c r="AJ38" s="796" t="s">
        <v>2221</v>
      </c>
      <c r="AK38" s="796" t="s">
        <v>741</v>
      </c>
      <c r="AL38" s="796" t="s">
        <v>2221</v>
      </c>
      <c r="AM38" s="796" t="s">
        <v>2222</v>
      </c>
      <c r="AN38" s="796" t="s">
        <v>742</v>
      </c>
      <c r="AO38" s="796" t="s">
        <v>2222</v>
      </c>
      <c r="AP38" s="796" t="s">
        <v>2222</v>
      </c>
      <c r="AQ38" s="796" t="s">
        <v>743</v>
      </c>
      <c r="AR38" s="796" t="s">
        <v>2223</v>
      </c>
      <c r="AS38" s="796" t="s">
        <v>2223</v>
      </c>
      <c r="AT38" s="796" t="s">
        <v>744</v>
      </c>
      <c r="AU38" s="796" t="s">
        <v>2221</v>
      </c>
      <c r="AV38" t="s">
        <v>2222</v>
      </c>
    </row>
    <row r="39" spans="1:48" ht="13.5">
      <c r="A39" s="796" t="s">
        <v>745</v>
      </c>
      <c r="B39" s="796" t="s">
        <v>2222</v>
      </c>
      <c r="C39" s="796" t="s">
        <v>2223</v>
      </c>
      <c r="D39" s="796" t="s">
        <v>746</v>
      </c>
      <c r="E39" s="796" t="s">
        <v>2225</v>
      </c>
      <c r="F39" s="796" t="s">
        <v>2224</v>
      </c>
      <c r="G39" s="796"/>
      <c r="H39" s="796"/>
      <c r="I39" s="796"/>
      <c r="J39" s="796" t="s">
        <v>747</v>
      </c>
      <c r="K39" s="796" t="s">
        <v>2221</v>
      </c>
      <c r="L39" s="796" t="s">
        <v>2222</v>
      </c>
      <c r="M39" s="796"/>
      <c r="N39" s="796"/>
      <c r="O39" s="796"/>
      <c r="P39" s="796"/>
      <c r="Q39" s="796"/>
      <c r="R39" s="796"/>
      <c r="S39" s="796" t="s">
        <v>748</v>
      </c>
      <c r="T39" s="796" t="s">
        <v>2221</v>
      </c>
      <c r="U39" s="796" t="s">
        <v>2221</v>
      </c>
      <c r="V39" s="796"/>
      <c r="W39" s="796"/>
      <c r="X39" s="796"/>
      <c r="Y39" s="796" t="s">
        <v>749</v>
      </c>
      <c r="Z39" s="796" t="s">
        <v>2221</v>
      </c>
      <c r="AA39" s="796" t="s">
        <v>2221</v>
      </c>
      <c r="AB39" s="796" t="s">
        <v>750</v>
      </c>
      <c r="AC39" s="796" t="s">
        <v>2221</v>
      </c>
      <c r="AD39" s="796" t="s">
        <v>2221</v>
      </c>
      <c r="AE39" s="796" t="s">
        <v>751</v>
      </c>
      <c r="AF39" s="796" t="s">
        <v>2221</v>
      </c>
      <c r="AG39" s="796" t="s">
        <v>2221</v>
      </c>
      <c r="AH39" s="796" t="s">
        <v>752</v>
      </c>
      <c r="AI39" s="796" t="s">
        <v>2221</v>
      </c>
      <c r="AJ39" s="796" t="s">
        <v>2222</v>
      </c>
      <c r="AK39" s="796" t="s">
        <v>753</v>
      </c>
      <c r="AL39" s="796" t="s">
        <v>2221</v>
      </c>
      <c r="AM39" s="796" t="s">
        <v>2222</v>
      </c>
      <c r="AN39" s="796" t="s">
        <v>754</v>
      </c>
      <c r="AO39" s="796" t="s">
        <v>2223</v>
      </c>
      <c r="AP39" s="796" t="s">
        <v>2223</v>
      </c>
      <c r="AQ39" s="796" t="s">
        <v>755</v>
      </c>
      <c r="AR39" s="796" t="s">
        <v>2222</v>
      </c>
      <c r="AS39" s="796" t="s">
        <v>2222</v>
      </c>
      <c r="AT39" s="796" t="s">
        <v>756</v>
      </c>
      <c r="AU39" s="796" t="s">
        <v>2222</v>
      </c>
      <c r="AV39" t="s">
        <v>2222</v>
      </c>
    </row>
    <row r="40" spans="1:48" ht="13.5">
      <c r="A40" s="796" t="s">
        <v>757</v>
      </c>
      <c r="B40" s="796" t="s">
        <v>2223</v>
      </c>
      <c r="C40" s="796" t="s">
        <v>2224</v>
      </c>
      <c r="D40" s="796" t="s">
        <v>758</v>
      </c>
      <c r="E40" s="796" t="s">
        <v>2222</v>
      </c>
      <c r="F40" s="796" t="s">
        <v>2222</v>
      </c>
      <c r="G40" s="796"/>
      <c r="H40" s="796"/>
      <c r="I40" s="796"/>
      <c r="J40" s="796" t="s">
        <v>759</v>
      </c>
      <c r="K40" s="796" t="s">
        <v>2222</v>
      </c>
      <c r="L40" s="796" t="s">
        <v>2222</v>
      </c>
      <c r="M40" s="796"/>
      <c r="N40" s="796"/>
      <c r="O40" s="796"/>
      <c r="P40" s="796"/>
      <c r="Q40" s="796"/>
      <c r="R40" s="796"/>
      <c r="S40" s="796" t="s">
        <v>760</v>
      </c>
      <c r="T40" s="796" t="s">
        <v>2225</v>
      </c>
      <c r="U40" s="796" t="s">
        <v>2225</v>
      </c>
      <c r="V40" s="796"/>
      <c r="W40" s="796"/>
      <c r="X40" s="796"/>
      <c r="Y40" s="796" t="s">
        <v>761</v>
      </c>
      <c r="Z40" s="796" t="s">
        <v>2222</v>
      </c>
      <c r="AA40" s="796" t="s">
        <v>2222</v>
      </c>
      <c r="AB40" s="796" t="s">
        <v>762</v>
      </c>
      <c r="AC40" s="796" t="s">
        <v>2223</v>
      </c>
      <c r="AD40" s="796" t="s">
        <v>2223</v>
      </c>
      <c r="AE40" s="796" t="s">
        <v>763</v>
      </c>
      <c r="AF40" s="796" t="s">
        <v>2223</v>
      </c>
      <c r="AG40" s="796" t="s">
        <v>2223</v>
      </c>
      <c r="AH40" s="796" t="s">
        <v>764</v>
      </c>
      <c r="AI40" s="796" t="s">
        <v>2221</v>
      </c>
      <c r="AJ40" s="796" t="s">
        <v>2222</v>
      </c>
      <c r="AK40" s="796" t="s">
        <v>765</v>
      </c>
      <c r="AL40" s="796" t="s">
        <v>2221</v>
      </c>
      <c r="AM40" s="796" t="s">
        <v>2221</v>
      </c>
      <c r="AN40" s="796" t="s">
        <v>766</v>
      </c>
      <c r="AO40" s="796" t="s">
        <v>2223</v>
      </c>
      <c r="AP40" s="796" t="s">
        <v>2223</v>
      </c>
      <c r="AQ40" s="796" t="s">
        <v>767</v>
      </c>
      <c r="AR40" s="796" t="s">
        <v>2224</v>
      </c>
      <c r="AS40" s="796" t="s">
        <v>2224</v>
      </c>
      <c r="AT40" s="796" t="s">
        <v>768</v>
      </c>
      <c r="AU40" s="796" t="s">
        <v>2222</v>
      </c>
      <c r="AV40" t="s">
        <v>2222</v>
      </c>
    </row>
    <row r="41" spans="1:48" ht="13.5">
      <c r="A41" s="796" t="s">
        <v>769</v>
      </c>
      <c r="B41" s="796" t="s">
        <v>2224</v>
      </c>
      <c r="C41" s="796" t="s">
        <v>2224</v>
      </c>
      <c r="D41" s="796" t="s">
        <v>770</v>
      </c>
      <c r="E41" s="796" t="s">
        <v>2222</v>
      </c>
      <c r="F41" s="796" t="s">
        <v>2222</v>
      </c>
      <c r="G41" s="796"/>
      <c r="H41" s="796"/>
      <c r="I41" s="796"/>
      <c r="J41" s="796" t="s">
        <v>771</v>
      </c>
      <c r="K41" s="796" t="s">
        <v>2221</v>
      </c>
      <c r="L41" s="796" t="s">
        <v>2221</v>
      </c>
      <c r="M41" s="796"/>
      <c r="N41" s="796"/>
      <c r="O41" s="796"/>
      <c r="P41" s="796"/>
      <c r="Q41" s="796"/>
      <c r="R41" s="796"/>
      <c r="S41" s="796" t="s">
        <v>772</v>
      </c>
      <c r="T41" s="796" t="s">
        <v>2225</v>
      </c>
      <c r="U41" s="796" t="s">
        <v>2226</v>
      </c>
      <c r="V41" s="796"/>
      <c r="W41" s="796"/>
      <c r="X41" s="796"/>
      <c r="Y41" s="796" t="s">
        <v>773</v>
      </c>
      <c r="Z41" s="796" t="s">
        <v>2223</v>
      </c>
      <c r="AA41" s="796" t="s">
        <v>2222</v>
      </c>
      <c r="AB41" s="796" t="s">
        <v>774</v>
      </c>
      <c r="AC41" s="796" t="s">
        <v>2223</v>
      </c>
      <c r="AD41" s="796" t="s">
        <v>2223</v>
      </c>
      <c r="AE41" s="796" t="s">
        <v>775</v>
      </c>
      <c r="AF41" s="796" t="s">
        <v>2221</v>
      </c>
      <c r="AG41" s="796" t="s">
        <v>2221</v>
      </c>
      <c r="AH41" s="796" t="s">
        <v>776</v>
      </c>
      <c r="AI41" s="796" t="s">
        <v>2222</v>
      </c>
      <c r="AJ41" s="796" t="s">
        <v>2222</v>
      </c>
      <c r="AK41" s="796" t="s">
        <v>777</v>
      </c>
      <c r="AL41" s="796" t="s">
        <v>2221</v>
      </c>
      <c r="AM41" s="796" t="s">
        <v>2222</v>
      </c>
      <c r="AN41" s="796" t="s">
        <v>778</v>
      </c>
      <c r="AO41" s="796" t="s">
        <v>2221</v>
      </c>
      <c r="AP41" s="796" t="s">
        <v>2221</v>
      </c>
      <c r="AQ41" s="796" t="s">
        <v>779</v>
      </c>
      <c r="AR41" s="796" t="s">
        <v>2224</v>
      </c>
      <c r="AS41" s="796" t="s">
        <v>2224</v>
      </c>
      <c r="AT41" s="796" t="s">
        <v>780</v>
      </c>
      <c r="AU41" s="796" t="s">
        <v>2222</v>
      </c>
      <c r="AV41" t="s">
        <v>2222</v>
      </c>
    </row>
    <row r="42" spans="1:48" ht="13.5">
      <c r="A42" s="796" t="s">
        <v>781</v>
      </c>
      <c r="B42" s="796" t="s">
        <v>2221</v>
      </c>
      <c r="C42" s="796" t="s">
        <v>2222</v>
      </c>
      <c r="D42" s="796" t="s">
        <v>782</v>
      </c>
      <c r="E42" s="796" t="s">
        <v>2221</v>
      </c>
      <c r="F42" s="796" t="s">
        <v>2221</v>
      </c>
      <c r="G42" s="796"/>
      <c r="H42" s="796"/>
      <c r="I42" s="796"/>
      <c r="J42" s="796" t="s">
        <v>783</v>
      </c>
      <c r="K42" s="796" t="s">
        <v>2221</v>
      </c>
      <c r="L42" s="796" t="s">
        <v>2221</v>
      </c>
      <c r="M42" s="796"/>
      <c r="N42" s="796"/>
      <c r="O42" s="796"/>
      <c r="P42" s="796"/>
      <c r="Q42" s="796"/>
      <c r="R42" s="796"/>
      <c r="S42" s="796" t="s">
        <v>784</v>
      </c>
      <c r="T42" s="796" t="s">
        <v>2223</v>
      </c>
      <c r="U42" s="796" t="s">
        <v>2223</v>
      </c>
      <c r="V42" s="796"/>
      <c r="W42" s="796"/>
      <c r="X42" s="796"/>
      <c r="Y42" s="796" t="s">
        <v>785</v>
      </c>
      <c r="Z42" s="796" t="s">
        <v>2222</v>
      </c>
      <c r="AA42" s="796" t="s">
        <v>2223</v>
      </c>
      <c r="AB42" s="796" t="s">
        <v>786</v>
      </c>
      <c r="AC42" s="796" t="s">
        <v>2222</v>
      </c>
      <c r="AD42" s="796" t="s">
        <v>2223</v>
      </c>
      <c r="AE42" s="796" t="s">
        <v>787</v>
      </c>
      <c r="AF42" s="796" t="s">
        <v>2221</v>
      </c>
      <c r="AG42" s="796" t="s">
        <v>2221</v>
      </c>
      <c r="AH42" s="796" t="s">
        <v>788</v>
      </c>
      <c r="AI42" s="796" t="s">
        <v>2221</v>
      </c>
      <c r="AJ42" s="796" t="s">
        <v>2222</v>
      </c>
      <c r="AK42" s="796" t="s">
        <v>789</v>
      </c>
      <c r="AL42" s="796" t="s">
        <v>2221</v>
      </c>
      <c r="AM42" s="796" t="s">
        <v>2221</v>
      </c>
      <c r="AN42" s="796" t="s">
        <v>790</v>
      </c>
      <c r="AO42" s="796" t="s">
        <v>2222</v>
      </c>
      <c r="AP42" s="796" t="s">
        <v>2221</v>
      </c>
      <c r="AQ42" s="796" t="s">
        <v>791</v>
      </c>
      <c r="AR42" s="796" t="s">
        <v>2224</v>
      </c>
      <c r="AS42" s="796" t="s">
        <v>2224</v>
      </c>
      <c r="AT42" s="796" t="s">
        <v>792</v>
      </c>
      <c r="AU42" s="796" t="s">
        <v>2222</v>
      </c>
      <c r="AV42" t="s">
        <v>2222</v>
      </c>
    </row>
    <row r="43" spans="1:48" ht="13.5">
      <c r="A43" s="796" t="s">
        <v>793</v>
      </c>
      <c r="B43" s="796" t="s">
        <v>2223</v>
      </c>
      <c r="C43" s="796" t="s">
        <v>2223</v>
      </c>
      <c r="D43" s="796" t="s">
        <v>794</v>
      </c>
      <c r="E43" s="796" t="s">
        <v>2222</v>
      </c>
      <c r="F43" s="796" t="s">
        <v>2221</v>
      </c>
      <c r="G43" s="796"/>
      <c r="H43" s="796"/>
      <c r="I43" s="796"/>
      <c r="J43" s="796" t="s">
        <v>795</v>
      </c>
      <c r="K43" s="796" t="s">
        <v>2222</v>
      </c>
      <c r="L43" s="796" t="s">
        <v>2222</v>
      </c>
      <c r="M43" s="796"/>
      <c r="N43" s="796"/>
      <c r="O43" s="796"/>
      <c r="P43" s="796"/>
      <c r="Q43" s="796"/>
      <c r="R43" s="796"/>
      <c r="S43" s="796" t="s">
        <v>796</v>
      </c>
      <c r="T43" s="796" t="s">
        <v>2224</v>
      </c>
      <c r="U43" s="796" t="s">
        <v>2224</v>
      </c>
      <c r="V43" s="796"/>
      <c r="W43" s="796"/>
      <c r="X43" s="796"/>
      <c r="Y43" s="796" t="s">
        <v>797</v>
      </c>
      <c r="Z43" s="796" t="s">
        <v>2221</v>
      </c>
      <c r="AA43" s="796" t="s">
        <v>2221</v>
      </c>
      <c r="AB43" s="796" t="s">
        <v>798</v>
      </c>
      <c r="AC43" s="796" t="s">
        <v>2225</v>
      </c>
      <c r="AD43" s="796" t="s">
        <v>2225</v>
      </c>
      <c r="AE43" s="796" t="s">
        <v>799</v>
      </c>
      <c r="AF43" s="796" t="s">
        <v>2221</v>
      </c>
      <c r="AG43" s="796" t="s">
        <v>2221</v>
      </c>
      <c r="AH43" s="796" t="s">
        <v>800</v>
      </c>
      <c r="AI43" s="796" t="s">
        <v>2222</v>
      </c>
      <c r="AJ43" s="796" t="s">
        <v>2222</v>
      </c>
      <c r="AK43" s="796" t="s">
        <v>801</v>
      </c>
      <c r="AL43" s="796" t="s">
        <v>2221</v>
      </c>
      <c r="AM43" s="796" t="s">
        <v>2221</v>
      </c>
      <c r="AN43" s="796" t="s">
        <v>802</v>
      </c>
      <c r="AO43" s="796" t="s">
        <v>2223</v>
      </c>
      <c r="AP43" s="796" t="s">
        <v>2222</v>
      </c>
      <c r="AQ43" s="796" t="s">
        <v>803</v>
      </c>
      <c r="AR43" s="796" t="s">
        <v>2224</v>
      </c>
      <c r="AS43" s="796" t="s">
        <v>2224</v>
      </c>
      <c r="AT43" s="796" t="s">
        <v>804</v>
      </c>
      <c r="AU43" s="796" t="s">
        <v>2222</v>
      </c>
      <c r="AV43" t="s">
        <v>2221</v>
      </c>
    </row>
    <row r="44" spans="1:48" ht="13.5">
      <c r="A44" s="796" t="s">
        <v>805</v>
      </c>
      <c r="B44" s="796" t="s">
        <v>2221</v>
      </c>
      <c r="C44" s="796" t="s">
        <v>2222</v>
      </c>
      <c r="D44" s="796" t="s">
        <v>806</v>
      </c>
      <c r="E44" s="796" t="s">
        <v>2224</v>
      </c>
      <c r="F44" s="796" t="s">
        <v>2224</v>
      </c>
      <c r="G44" s="796"/>
      <c r="H44" s="796"/>
      <c r="I44" s="796"/>
      <c r="J44" s="796" t="s">
        <v>807</v>
      </c>
      <c r="K44" s="796" t="s">
        <v>2221</v>
      </c>
      <c r="L44" s="796" t="s">
        <v>2221</v>
      </c>
      <c r="M44" s="796"/>
      <c r="N44" s="796"/>
      <c r="O44" s="796"/>
      <c r="P44" s="796"/>
      <c r="Q44" s="796"/>
      <c r="R44" s="796"/>
      <c r="S44" s="796" t="s">
        <v>808</v>
      </c>
      <c r="T44" s="796" t="s">
        <v>2226</v>
      </c>
      <c r="U44" s="796" t="s">
        <v>2225</v>
      </c>
      <c r="V44" s="796"/>
      <c r="W44" s="796"/>
      <c r="X44" s="796"/>
      <c r="Y44" s="796" t="s">
        <v>809</v>
      </c>
      <c r="Z44" s="796" t="s">
        <v>2223</v>
      </c>
      <c r="AA44" s="796" t="s">
        <v>2223</v>
      </c>
      <c r="AB44" s="796" t="s">
        <v>810</v>
      </c>
      <c r="AC44" s="796" t="s">
        <v>2221</v>
      </c>
      <c r="AD44" s="796" t="s">
        <v>2222</v>
      </c>
      <c r="AE44" s="796" t="s">
        <v>811</v>
      </c>
      <c r="AF44" s="796" t="s">
        <v>2221</v>
      </c>
      <c r="AG44" s="796" t="s">
        <v>2221</v>
      </c>
      <c r="AH44" s="796" t="s">
        <v>812</v>
      </c>
      <c r="AI44" s="796" t="s">
        <v>2221</v>
      </c>
      <c r="AJ44" s="796" t="s">
        <v>2222</v>
      </c>
      <c r="AK44" s="796" t="s">
        <v>813</v>
      </c>
      <c r="AL44" s="796" t="s">
        <v>2222</v>
      </c>
      <c r="AM44" s="796" t="s">
        <v>2222</v>
      </c>
      <c r="AN44" s="796" t="s">
        <v>814</v>
      </c>
      <c r="AO44" s="796" t="s">
        <v>2222</v>
      </c>
      <c r="AP44" s="796" t="s">
        <v>2221</v>
      </c>
      <c r="AQ44" s="796" t="s">
        <v>815</v>
      </c>
      <c r="AR44" s="796" t="s">
        <v>2223</v>
      </c>
      <c r="AS44" s="796" t="s">
        <v>2223</v>
      </c>
      <c r="AT44" s="796" t="s">
        <v>816</v>
      </c>
      <c r="AU44" s="796" t="s">
        <v>2221</v>
      </c>
      <c r="AV44" t="s">
        <v>2222</v>
      </c>
    </row>
    <row r="45" spans="1:48" ht="13.5">
      <c r="A45" s="796" t="s">
        <v>817</v>
      </c>
      <c r="B45" s="796" t="s">
        <v>2223</v>
      </c>
      <c r="C45" s="796" t="s">
        <v>2223</v>
      </c>
      <c r="D45" s="796" t="s">
        <v>818</v>
      </c>
      <c r="E45" s="796" t="s">
        <v>2226</v>
      </c>
      <c r="F45" s="796" t="s">
        <v>2226</v>
      </c>
      <c r="G45" s="796"/>
      <c r="H45" s="796"/>
      <c r="I45" s="796"/>
      <c r="J45" s="796" t="s">
        <v>819</v>
      </c>
      <c r="K45" s="796" t="s">
        <v>2222</v>
      </c>
      <c r="L45" s="796" t="s">
        <v>2222</v>
      </c>
      <c r="M45" s="796"/>
      <c r="N45" s="796"/>
      <c r="O45" s="796"/>
      <c r="P45" s="796"/>
      <c r="Q45" s="796"/>
      <c r="R45" s="796"/>
      <c r="S45" s="796" t="s">
        <v>820</v>
      </c>
      <c r="T45" s="796" t="s">
        <v>2221</v>
      </c>
      <c r="U45" s="796" t="s">
        <v>2221</v>
      </c>
      <c r="V45" s="796"/>
      <c r="W45" s="796"/>
      <c r="X45" s="796"/>
      <c r="Y45" s="796" t="s">
        <v>821</v>
      </c>
      <c r="Z45" s="796" t="s">
        <v>2221</v>
      </c>
      <c r="AA45" s="796" t="s">
        <v>2221</v>
      </c>
      <c r="AB45" s="796" t="s">
        <v>822</v>
      </c>
      <c r="AC45" s="796" t="s">
        <v>2222</v>
      </c>
      <c r="AD45" s="796" t="s">
        <v>2222</v>
      </c>
      <c r="AE45" s="796" t="s">
        <v>823</v>
      </c>
      <c r="AF45" s="796" t="s">
        <v>2223</v>
      </c>
      <c r="AG45" s="796" t="s">
        <v>2223</v>
      </c>
      <c r="AH45" s="796" t="s">
        <v>824</v>
      </c>
      <c r="AI45" s="796" t="s">
        <v>2222</v>
      </c>
      <c r="AJ45" s="796" t="s">
        <v>2222</v>
      </c>
      <c r="AK45" s="796" t="s">
        <v>825</v>
      </c>
      <c r="AL45" s="796" t="s">
        <v>2221</v>
      </c>
      <c r="AM45" s="796" t="s">
        <v>2222</v>
      </c>
      <c r="AN45" s="796" t="s">
        <v>826</v>
      </c>
      <c r="AO45" s="796" t="s">
        <v>2222</v>
      </c>
      <c r="AP45" s="796" t="s">
        <v>2222</v>
      </c>
      <c r="AQ45" s="796" t="s">
        <v>827</v>
      </c>
      <c r="AR45" s="796" t="s">
        <v>2223</v>
      </c>
      <c r="AS45" s="796" t="s">
        <v>2223</v>
      </c>
      <c r="AT45" s="796" t="s">
        <v>828</v>
      </c>
      <c r="AU45" s="796" t="s">
        <v>2222</v>
      </c>
      <c r="AV45" t="s">
        <v>2222</v>
      </c>
    </row>
    <row r="46" spans="1:48" ht="13.5">
      <c r="A46" s="796" t="s">
        <v>829</v>
      </c>
      <c r="B46" s="796" t="s">
        <v>2222</v>
      </c>
      <c r="C46" s="796" t="s">
        <v>2222</v>
      </c>
      <c r="D46" s="796" t="s">
        <v>830</v>
      </c>
      <c r="E46" s="796" t="s">
        <v>2427</v>
      </c>
      <c r="F46" s="796" t="s">
        <v>2226</v>
      </c>
      <c r="G46" s="796"/>
      <c r="H46" s="796"/>
      <c r="I46" s="796"/>
      <c r="J46" s="796" t="s">
        <v>831</v>
      </c>
      <c r="K46" s="796" t="s">
        <v>2222</v>
      </c>
      <c r="L46" s="796" t="s">
        <v>2223</v>
      </c>
      <c r="M46" s="796"/>
      <c r="N46" s="796"/>
      <c r="O46" s="796"/>
      <c r="P46" s="796"/>
      <c r="Q46" s="796"/>
      <c r="R46" s="796"/>
      <c r="S46" s="796" t="s">
        <v>832</v>
      </c>
      <c r="T46" s="796" t="s">
        <v>2221</v>
      </c>
      <c r="U46" s="796" t="s">
        <v>2221</v>
      </c>
      <c r="V46" s="796"/>
      <c r="W46" s="796"/>
      <c r="X46" s="796"/>
      <c r="Y46" s="796" t="s">
        <v>833</v>
      </c>
      <c r="Z46" s="796" t="s">
        <v>2221</v>
      </c>
      <c r="AA46" s="796" t="s">
        <v>2221</v>
      </c>
      <c r="AB46" s="796" t="s">
        <v>834</v>
      </c>
      <c r="AC46" s="796" t="s">
        <v>2224</v>
      </c>
      <c r="AD46" s="796" t="s">
        <v>2224</v>
      </c>
      <c r="AE46" s="796" t="s">
        <v>835</v>
      </c>
      <c r="AF46" s="796" t="s">
        <v>2222</v>
      </c>
      <c r="AG46" s="796" t="s">
        <v>2222</v>
      </c>
      <c r="AH46" s="796" t="s">
        <v>836</v>
      </c>
      <c r="AI46" s="796" t="s">
        <v>2222</v>
      </c>
      <c r="AJ46" s="796" t="s">
        <v>2222</v>
      </c>
      <c r="AK46" s="796" t="s">
        <v>837</v>
      </c>
      <c r="AL46" s="796" t="s">
        <v>2222</v>
      </c>
      <c r="AM46" s="796" t="s">
        <v>2222</v>
      </c>
      <c r="AN46" s="796" t="s">
        <v>838</v>
      </c>
      <c r="AO46" s="796" t="s">
        <v>2222</v>
      </c>
      <c r="AP46" s="796" t="s">
        <v>2222</v>
      </c>
      <c r="AQ46" s="796" t="s">
        <v>839</v>
      </c>
      <c r="AR46" s="796" t="s">
        <v>2223</v>
      </c>
      <c r="AS46" s="796" t="s">
        <v>2223</v>
      </c>
      <c r="AT46" s="796" t="s">
        <v>840</v>
      </c>
      <c r="AU46" s="796" t="s">
        <v>2222</v>
      </c>
      <c r="AV46" t="s">
        <v>2222</v>
      </c>
    </row>
    <row r="47" spans="1:48" ht="13.5">
      <c r="A47" s="796" t="s">
        <v>841</v>
      </c>
      <c r="B47" s="796" t="s">
        <v>2225</v>
      </c>
      <c r="C47" s="796" t="s">
        <v>2224</v>
      </c>
      <c r="D47" s="796" t="s">
        <v>842</v>
      </c>
      <c r="E47" s="796" t="s">
        <v>2223</v>
      </c>
      <c r="F47" s="796" t="s">
        <v>2223</v>
      </c>
      <c r="G47" s="796"/>
      <c r="H47" s="796"/>
      <c r="I47" s="796"/>
      <c r="J47" s="796" t="s">
        <v>843</v>
      </c>
      <c r="K47" s="796" t="s">
        <v>2221</v>
      </c>
      <c r="L47" s="796" t="s">
        <v>2222</v>
      </c>
      <c r="M47" s="796"/>
      <c r="N47" s="796"/>
      <c r="O47" s="796"/>
      <c r="P47" s="796"/>
      <c r="Q47" s="796"/>
      <c r="R47" s="796"/>
      <c r="S47" s="796" t="s">
        <v>844</v>
      </c>
      <c r="T47" s="796" t="s">
        <v>2221</v>
      </c>
      <c r="U47" s="796" t="s">
        <v>2221</v>
      </c>
      <c r="V47" s="796"/>
      <c r="W47" s="796"/>
      <c r="X47" s="796"/>
      <c r="Y47" s="796" t="s">
        <v>845</v>
      </c>
      <c r="Z47" s="796" t="s">
        <v>2222</v>
      </c>
      <c r="AA47" s="796" t="s">
        <v>2222</v>
      </c>
      <c r="AB47" s="796" t="s">
        <v>846</v>
      </c>
      <c r="AC47" s="796" t="s">
        <v>2223</v>
      </c>
      <c r="AD47" s="796" t="s">
        <v>2223</v>
      </c>
      <c r="AE47" s="796" t="s">
        <v>847</v>
      </c>
      <c r="AF47" s="796" t="s">
        <v>2221</v>
      </c>
      <c r="AG47" s="796" t="s">
        <v>2221</v>
      </c>
      <c r="AH47" s="796" t="s">
        <v>848</v>
      </c>
      <c r="AI47" s="796" t="s">
        <v>2221</v>
      </c>
      <c r="AJ47" s="796" t="s">
        <v>2221</v>
      </c>
      <c r="AK47" s="796" t="s">
        <v>849</v>
      </c>
      <c r="AL47" s="796" t="s">
        <v>2221</v>
      </c>
      <c r="AM47" s="796" t="s">
        <v>2221</v>
      </c>
      <c r="AN47" s="796" t="s">
        <v>850</v>
      </c>
      <c r="AO47" s="796"/>
      <c r="AP47" s="796" t="s">
        <v>2222</v>
      </c>
      <c r="AQ47" s="796" t="s">
        <v>851</v>
      </c>
      <c r="AR47" s="796" t="s">
        <v>2223</v>
      </c>
      <c r="AS47" s="796" t="s">
        <v>2223</v>
      </c>
      <c r="AT47" s="796" t="s">
        <v>852</v>
      </c>
      <c r="AU47" s="796" t="s">
        <v>2221</v>
      </c>
      <c r="AV47" t="s">
        <v>2222</v>
      </c>
    </row>
    <row r="48" spans="1:48" ht="13.5">
      <c r="A48" s="796" t="s">
        <v>853</v>
      </c>
      <c r="B48" s="796" t="s">
        <v>2224</v>
      </c>
      <c r="C48" s="796" t="s">
        <v>2225</v>
      </c>
      <c r="D48" s="796" t="s">
        <v>854</v>
      </c>
      <c r="E48" s="796" t="s">
        <v>2222</v>
      </c>
      <c r="F48" s="796" t="s">
        <v>2221</v>
      </c>
      <c r="G48" s="796"/>
      <c r="H48" s="796"/>
      <c r="I48" s="796"/>
      <c r="J48" s="796" t="s">
        <v>855</v>
      </c>
      <c r="K48" s="796" t="s">
        <v>2222</v>
      </c>
      <c r="L48" s="796" t="s">
        <v>2222</v>
      </c>
      <c r="M48" s="796"/>
      <c r="N48" s="796"/>
      <c r="O48" s="796"/>
      <c r="P48" s="796"/>
      <c r="Q48" s="796"/>
      <c r="R48" s="796"/>
      <c r="S48" s="796" t="s">
        <v>856</v>
      </c>
      <c r="T48" s="796" t="s">
        <v>2225</v>
      </c>
      <c r="U48" s="796" t="s">
        <v>2224</v>
      </c>
      <c r="V48" s="796"/>
      <c r="W48" s="796"/>
      <c r="X48" s="796"/>
      <c r="Y48" s="796" t="s">
        <v>857</v>
      </c>
      <c r="Z48" s="796" t="s">
        <v>2221</v>
      </c>
      <c r="AA48" s="796" t="s">
        <v>2221</v>
      </c>
      <c r="AB48" s="796" t="s">
        <v>858</v>
      </c>
      <c r="AC48" s="796" t="s">
        <v>2221</v>
      </c>
      <c r="AD48" s="796" t="s">
        <v>2221</v>
      </c>
      <c r="AE48" s="796" t="s">
        <v>859</v>
      </c>
      <c r="AF48" s="796" t="s">
        <v>2221</v>
      </c>
      <c r="AG48" s="796" t="s">
        <v>2221</v>
      </c>
      <c r="AH48" s="796" t="s">
        <v>860</v>
      </c>
      <c r="AI48" s="796" t="s">
        <v>2221</v>
      </c>
      <c r="AJ48" s="796" t="s">
        <v>2222</v>
      </c>
      <c r="AK48" s="796" t="s">
        <v>861</v>
      </c>
      <c r="AL48" s="796" t="s">
        <v>2221</v>
      </c>
      <c r="AM48" s="796" t="s">
        <v>2221</v>
      </c>
      <c r="AN48" s="796" t="s">
        <v>862</v>
      </c>
      <c r="AO48" s="796" t="s">
        <v>2221</v>
      </c>
      <c r="AP48" s="796" t="s">
        <v>2221</v>
      </c>
      <c r="AQ48" s="796" t="s">
        <v>863</v>
      </c>
      <c r="AR48" s="796" t="s">
        <v>2222</v>
      </c>
      <c r="AS48" s="796"/>
      <c r="AT48" s="796" t="s">
        <v>864</v>
      </c>
      <c r="AU48" s="796" t="s">
        <v>2222</v>
      </c>
      <c r="AV48" t="s">
        <v>2222</v>
      </c>
    </row>
    <row r="49" spans="1:48" ht="13.5">
      <c r="A49" s="796" t="s">
        <v>865</v>
      </c>
      <c r="B49" s="796" t="s">
        <v>2225</v>
      </c>
      <c r="C49" s="796" t="s">
        <v>2225</v>
      </c>
      <c r="D49" s="796" t="s">
        <v>866</v>
      </c>
      <c r="E49" s="796" t="s">
        <v>2427</v>
      </c>
      <c r="F49" s="796" t="s">
        <v>2226</v>
      </c>
      <c r="G49" s="796"/>
      <c r="H49" s="796"/>
      <c r="I49" s="796"/>
      <c r="J49" s="796" t="s">
        <v>867</v>
      </c>
      <c r="K49" s="796" t="s">
        <v>2223</v>
      </c>
      <c r="L49" s="796" t="s">
        <v>2223</v>
      </c>
      <c r="M49" s="796"/>
      <c r="N49" s="796"/>
      <c r="O49" s="796"/>
      <c r="P49" s="796"/>
      <c r="Q49" s="796"/>
      <c r="R49" s="796"/>
      <c r="S49" s="796" t="s">
        <v>868</v>
      </c>
      <c r="T49" s="796" t="s">
        <v>2221</v>
      </c>
      <c r="U49" s="796" t="s">
        <v>2221</v>
      </c>
      <c r="V49" s="796"/>
      <c r="W49" s="796"/>
      <c r="X49" s="796"/>
      <c r="Y49" s="796" t="s">
        <v>869</v>
      </c>
      <c r="Z49" s="796" t="s">
        <v>2222</v>
      </c>
      <c r="AA49" s="796" t="s">
        <v>2222</v>
      </c>
      <c r="AB49" s="796" t="s">
        <v>870</v>
      </c>
      <c r="AC49" s="796" t="s">
        <v>2221</v>
      </c>
      <c r="AD49" s="796" t="s">
        <v>2221</v>
      </c>
      <c r="AE49" s="796" t="s">
        <v>871</v>
      </c>
      <c r="AF49" s="796" t="s">
        <v>2221</v>
      </c>
      <c r="AG49" s="796" t="s">
        <v>2221</v>
      </c>
      <c r="AH49" s="796"/>
      <c r="AI49" s="796"/>
      <c r="AJ49" s="796"/>
      <c r="AK49" s="796" t="s">
        <v>872</v>
      </c>
      <c r="AL49" s="796" t="s">
        <v>2223</v>
      </c>
      <c r="AM49" s="796" t="s">
        <v>2223</v>
      </c>
      <c r="AN49" s="796" t="s">
        <v>873</v>
      </c>
      <c r="AO49" s="796" t="s">
        <v>2222</v>
      </c>
      <c r="AP49" s="796" t="s">
        <v>2222</v>
      </c>
      <c r="AQ49" s="796" t="s">
        <v>874</v>
      </c>
      <c r="AR49" s="796" t="s">
        <v>2226</v>
      </c>
      <c r="AS49" s="796" t="s">
        <v>2226</v>
      </c>
      <c r="AT49" s="796" t="s">
        <v>875</v>
      </c>
      <c r="AU49" s="796" t="s">
        <v>2221</v>
      </c>
      <c r="AV49" t="s">
        <v>2222</v>
      </c>
    </row>
    <row r="50" spans="1:48" ht="13.5">
      <c r="A50" s="796" t="s">
        <v>876</v>
      </c>
      <c r="B50" s="796" t="s">
        <v>2222</v>
      </c>
      <c r="C50" s="796" t="s">
        <v>2222</v>
      </c>
      <c r="D50" s="796" t="s">
        <v>877</v>
      </c>
      <c r="E50" s="796" t="s">
        <v>2223</v>
      </c>
      <c r="F50" s="796" t="s">
        <v>2221</v>
      </c>
      <c r="G50" s="796"/>
      <c r="H50" s="796"/>
      <c r="I50" s="796"/>
      <c r="J50" s="796" t="s">
        <v>878</v>
      </c>
      <c r="K50" s="796" t="s">
        <v>2225</v>
      </c>
      <c r="L50" s="796" t="s">
        <v>2225</v>
      </c>
      <c r="M50" s="796"/>
      <c r="N50" s="796"/>
      <c r="O50" s="796"/>
      <c r="P50" s="796"/>
      <c r="Q50" s="796"/>
      <c r="R50" s="796"/>
      <c r="S50" s="796" t="s">
        <v>49</v>
      </c>
      <c r="T50" s="796" t="s">
        <v>2226</v>
      </c>
      <c r="U50" s="796" t="s">
        <v>2226</v>
      </c>
      <c r="V50" s="796"/>
      <c r="W50" s="796"/>
      <c r="X50" s="796"/>
      <c r="Y50" s="796" t="s">
        <v>879</v>
      </c>
      <c r="Z50" s="796" t="s">
        <v>2222</v>
      </c>
      <c r="AA50" s="796" t="s">
        <v>2222</v>
      </c>
      <c r="AB50" s="796" t="s">
        <v>880</v>
      </c>
      <c r="AC50" s="796" t="s">
        <v>2222</v>
      </c>
      <c r="AD50" s="796" t="s">
        <v>2222</v>
      </c>
      <c r="AE50" s="796" t="s">
        <v>881</v>
      </c>
      <c r="AF50" s="796" t="s">
        <v>2221</v>
      </c>
      <c r="AG50" s="796" t="s">
        <v>2221</v>
      </c>
      <c r="AH50" s="796"/>
      <c r="AI50" s="796"/>
      <c r="AJ50" s="796"/>
      <c r="AK50" s="796" t="s">
        <v>882</v>
      </c>
      <c r="AL50" s="796" t="s">
        <v>2222</v>
      </c>
      <c r="AM50" s="796" t="s">
        <v>2223</v>
      </c>
      <c r="AN50" s="796" t="s">
        <v>883</v>
      </c>
      <c r="AO50" s="796" t="s">
        <v>2222</v>
      </c>
      <c r="AP50" s="796" t="s">
        <v>2221</v>
      </c>
      <c r="AQ50" s="796" t="s">
        <v>884</v>
      </c>
      <c r="AR50" s="796" t="s">
        <v>2225</v>
      </c>
      <c r="AS50" s="796" t="s">
        <v>2226</v>
      </c>
      <c r="AT50" s="796" t="s">
        <v>885</v>
      </c>
      <c r="AU50" s="796" t="s">
        <v>2223</v>
      </c>
      <c r="AV50" t="s">
        <v>2223</v>
      </c>
    </row>
    <row r="51" spans="1:48" ht="13.5">
      <c r="A51" s="796" t="s">
        <v>886</v>
      </c>
      <c r="B51" s="796" t="s">
        <v>2222</v>
      </c>
      <c r="C51" s="796" t="s">
        <v>2223</v>
      </c>
      <c r="D51" s="796" t="s">
        <v>887</v>
      </c>
      <c r="E51" s="796" t="s">
        <v>2226</v>
      </c>
      <c r="F51" s="796" t="s">
        <v>2226</v>
      </c>
      <c r="G51" s="796"/>
      <c r="H51" s="796"/>
      <c r="I51" s="796"/>
      <c r="J51" s="796" t="s">
        <v>888</v>
      </c>
      <c r="K51" s="796" t="s">
        <v>2224</v>
      </c>
      <c r="L51" s="796" t="s">
        <v>2223</v>
      </c>
      <c r="M51" s="796"/>
      <c r="N51" s="796"/>
      <c r="O51" s="796"/>
      <c r="P51" s="796"/>
      <c r="Q51" s="796"/>
      <c r="R51" s="796"/>
      <c r="S51" s="796" t="s">
        <v>889</v>
      </c>
      <c r="T51" s="796" t="s">
        <v>2222</v>
      </c>
      <c r="U51" s="796" t="s">
        <v>2223</v>
      </c>
      <c r="V51" s="796"/>
      <c r="W51" s="796"/>
      <c r="X51" s="796"/>
      <c r="Y51" s="796" t="s">
        <v>890</v>
      </c>
      <c r="Z51" s="796" t="s">
        <v>2221</v>
      </c>
      <c r="AA51" s="796" t="s">
        <v>2221</v>
      </c>
      <c r="AB51" s="796" t="s">
        <v>769</v>
      </c>
      <c r="AC51" s="796" t="s">
        <v>2225</v>
      </c>
      <c r="AD51" s="796" t="s">
        <v>2225</v>
      </c>
      <c r="AE51" s="796" t="s">
        <v>891</v>
      </c>
      <c r="AF51" s="796" t="s">
        <v>2222</v>
      </c>
      <c r="AG51" s="796" t="s">
        <v>2222</v>
      </c>
      <c r="AH51" s="796"/>
      <c r="AI51" s="796"/>
      <c r="AJ51" s="796"/>
      <c r="AK51" s="796" t="s">
        <v>892</v>
      </c>
      <c r="AL51" s="796" t="s">
        <v>2221</v>
      </c>
      <c r="AM51" s="796" t="s">
        <v>2222</v>
      </c>
      <c r="AN51" s="796" t="s">
        <v>893</v>
      </c>
      <c r="AO51" s="796" t="s">
        <v>2222</v>
      </c>
      <c r="AP51" s="796" t="s">
        <v>2222</v>
      </c>
      <c r="AQ51" s="796" t="s">
        <v>894</v>
      </c>
      <c r="AR51" s="796" t="s">
        <v>2223</v>
      </c>
      <c r="AS51" s="796" t="s">
        <v>2224</v>
      </c>
      <c r="AT51" s="796" t="s">
        <v>895</v>
      </c>
      <c r="AU51" s="796" t="s">
        <v>2222</v>
      </c>
      <c r="AV51" t="s">
        <v>2222</v>
      </c>
    </row>
    <row r="52" spans="1:48" ht="13.5">
      <c r="A52" s="796" t="s">
        <v>896</v>
      </c>
      <c r="B52" s="796" t="s">
        <v>2226</v>
      </c>
      <c r="C52" s="796" t="s">
        <v>2225</v>
      </c>
      <c r="D52" s="796" t="s">
        <v>897</v>
      </c>
      <c r="E52" s="796" t="s">
        <v>2223</v>
      </c>
      <c r="F52" s="796" t="s">
        <v>2222</v>
      </c>
      <c r="G52" s="796"/>
      <c r="H52" s="796"/>
      <c r="I52" s="796"/>
      <c r="J52" s="796" t="s">
        <v>898</v>
      </c>
      <c r="K52" s="796" t="s">
        <v>2223</v>
      </c>
      <c r="L52" s="796" t="s">
        <v>2222</v>
      </c>
      <c r="M52" s="796"/>
      <c r="N52" s="796"/>
      <c r="O52" s="796"/>
      <c r="P52" s="796"/>
      <c r="Q52" s="796"/>
      <c r="R52" s="796"/>
      <c r="S52" s="796" t="s">
        <v>899</v>
      </c>
      <c r="T52" s="796" t="s">
        <v>2224</v>
      </c>
      <c r="U52" s="796" t="s">
        <v>2224</v>
      </c>
      <c r="V52" s="796"/>
      <c r="W52" s="796"/>
      <c r="X52" s="796"/>
      <c r="Y52" s="796" t="s">
        <v>900</v>
      </c>
      <c r="Z52" s="796" t="s">
        <v>2222</v>
      </c>
      <c r="AA52" s="796" t="s">
        <v>2222</v>
      </c>
      <c r="AB52" s="796" t="s">
        <v>901</v>
      </c>
      <c r="AC52" s="796" t="s">
        <v>2222</v>
      </c>
      <c r="AD52" s="796" t="s">
        <v>2222</v>
      </c>
      <c r="AE52" s="796" t="s">
        <v>902</v>
      </c>
      <c r="AF52" s="796" t="s">
        <v>2223</v>
      </c>
      <c r="AG52" s="796" t="s">
        <v>2223</v>
      </c>
      <c r="AH52" s="796"/>
      <c r="AI52" s="796"/>
      <c r="AJ52" s="796"/>
      <c r="AK52" s="796" t="s">
        <v>903</v>
      </c>
      <c r="AL52" s="796" t="s">
        <v>2222</v>
      </c>
      <c r="AM52" s="796" t="s">
        <v>2222</v>
      </c>
      <c r="AN52" s="796" t="s">
        <v>904</v>
      </c>
      <c r="AO52" s="796" t="s">
        <v>2222</v>
      </c>
      <c r="AP52" s="796" t="s">
        <v>2222</v>
      </c>
      <c r="AQ52" s="796" t="s">
        <v>905</v>
      </c>
      <c r="AR52" s="796" t="s">
        <v>2225</v>
      </c>
      <c r="AS52" s="796" t="s">
        <v>2226</v>
      </c>
      <c r="AT52" s="796" t="s">
        <v>906</v>
      </c>
      <c r="AU52" s="796" t="s">
        <v>2221</v>
      </c>
      <c r="AV52" t="s">
        <v>2221</v>
      </c>
    </row>
    <row r="53" spans="1:48" ht="13.5">
      <c r="A53" s="796" t="s">
        <v>907</v>
      </c>
      <c r="B53" s="796" t="s">
        <v>2223</v>
      </c>
      <c r="C53" s="796" t="s">
        <v>2223</v>
      </c>
      <c r="D53" s="796" t="s">
        <v>908</v>
      </c>
      <c r="E53" s="796" t="s">
        <v>2224</v>
      </c>
      <c r="F53" s="796" t="s">
        <v>2224</v>
      </c>
      <c r="G53" s="796"/>
      <c r="H53" s="796"/>
      <c r="I53" s="796"/>
      <c r="J53" s="796" t="s">
        <v>909</v>
      </c>
      <c r="K53" s="796" t="s">
        <v>2224</v>
      </c>
      <c r="L53" s="796" t="s">
        <v>2224</v>
      </c>
      <c r="M53" s="796"/>
      <c r="N53" s="796"/>
      <c r="O53" s="796"/>
      <c r="P53" s="796"/>
      <c r="Q53" s="796"/>
      <c r="R53" s="796"/>
      <c r="S53" s="796" t="s">
        <v>910</v>
      </c>
      <c r="T53" s="796" t="s">
        <v>2225</v>
      </c>
      <c r="U53" s="796" t="s">
        <v>2226</v>
      </c>
      <c r="V53" s="796"/>
      <c r="W53" s="796"/>
      <c r="X53" s="796"/>
      <c r="Y53" s="796" t="s">
        <v>911</v>
      </c>
      <c r="Z53" s="796" t="s">
        <v>2221</v>
      </c>
      <c r="AA53" s="796"/>
      <c r="AB53" s="796" t="s">
        <v>912</v>
      </c>
      <c r="AC53" s="796" t="s">
        <v>2222</v>
      </c>
      <c r="AD53" s="796" t="s">
        <v>2222</v>
      </c>
      <c r="AE53" s="796" t="s">
        <v>913</v>
      </c>
      <c r="AF53" s="796" t="s">
        <v>2223</v>
      </c>
      <c r="AG53" s="796" t="s">
        <v>2224</v>
      </c>
      <c r="AH53" s="796"/>
      <c r="AI53" s="796"/>
      <c r="AJ53" s="796"/>
      <c r="AK53" s="796" t="s">
        <v>914</v>
      </c>
      <c r="AL53" s="796" t="s">
        <v>2222</v>
      </c>
      <c r="AM53" s="796" t="s">
        <v>2222</v>
      </c>
      <c r="AN53" s="796" t="s">
        <v>915</v>
      </c>
      <c r="AO53" s="796" t="s">
        <v>2222</v>
      </c>
      <c r="AP53" s="796" t="s">
        <v>2222</v>
      </c>
      <c r="AQ53" s="796" t="s">
        <v>916</v>
      </c>
      <c r="AR53" s="796" t="s">
        <v>2224</v>
      </c>
      <c r="AS53" s="796" t="s">
        <v>2224</v>
      </c>
      <c r="AT53" s="796"/>
      <c r="AU53" s="796"/>
    </row>
    <row r="54" spans="1:48" ht="13.5">
      <c r="A54" s="796" t="s">
        <v>917</v>
      </c>
      <c r="B54" s="796" t="s">
        <v>2222</v>
      </c>
      <c r="C54" s="796" t="s">
        <v>2222</v>
      </c>
      <c r="D54" s="796" t="s">
        <v>918</v>
      </c>
      <c r="E54" s="796" t="s">
        <v>2222</v>
      </c>
      <c r="F54" s="796"/>
      <c r="G54" s="796"/>
      <c r="H54" s="796"/>
      <c r="I54" s="796"/>
      <c r="J54" s="796" t="s">
        <v>919</v>
      </c>
      <c r="K54" s="796" t="s">
        <v>2222</v>
      </c>
      <c r="L54" s="796" t="s">
        <v>2222</v>
      </c>
      <c r="M54" s="796"/>
      <c r="N54" s="796"/>
      <c r="O54" s="796"/>
      <c r="P54" s="796"/>
      <c r="Q54" s="796"/>
      <c r="R54" s="796"/>
      <c r="S54" s="796" t="s">
        <v>920</v>
      </c>
      <c r="T54" s="796" t="s">
        <v>2221</v>
      </c>
      <c r="U54" s="796" t="s">
        <v>2221</v>
      </c>
      <c r="V54" s="796"/>
      <c r="W54" s="796"/>
      <c r="X54" s="796"/>
      <c r="Y54" s="796" t="s">
        <v>921</v>
      </c>
      <c r="Z54" s="796" t="s">
        <v>2221</v>
      </c>
      <c r="AA54" s="796" t="s">
        <v>2221</v>
      </c>
      <c r="AB54" s="796" t="s">
        <v>922</v>
      </c>
      <c r="AC54" s="796" t="s">
        <v>2221</v>
      </c>
      <c r="AD54" s="796" t="s">
        <v>2221</v>
      </c>
      <c r="AE54" s="796" t="s">
        <v>923</v>
      </c>
      <c r="AF54" s="796" t="s">
        <v>2224</v>
      </c>
      <c r="AG54" s="796" t="s">
        <v>2224</v>
      </c>
      <c r="AH54" s="796"/>
      <c r="AI54" s="796"/>
      <c r="AJ54" s="796"/>
      <c r="AK54" s="796" t="s">
        <v>924</v>
      </c>
      <c r="AL54" s="796" t="s">
        <v>2221</v>
      </c>
      <c r="AM54" s="796" t="s">
        <v>2221</v>
      </c>
      <c r="AN54" s="796" t="s">
        <v>925</v>
      </c>
      <c r="AO54" s="796" t="s">
        <v>2222</v>
      </c>
      <c r="AP54" s="796" t="s">
        <v>2222</v>
      </c>
      <c r="AQ54" s="796" t="s">
        <v>926</v>
      </c>
      <c r="AR54" s="796" t="s">
        <v>2223</v>
      </c>
      <c r="AS54" s="796" t="s">
        <v>2224</v>
      </c>
      <c r="AT54" s="796"/>
      <c r="AU54" s="796"/>
    </row>
    <row r="55" spans="1:48" ht="13.5">
      <c r="A55" s="796" t="s">
        <v>927</v>
      </c>
      <c r="B55" s="796" t="s">
        <v>2224</v>
      </c>
      <c r="C55" s="796" t="s">
        <v>2223</v>
      </c>
      <c r="D55" s="796" t="s">
        <v>928</v>
      </c>
      <c r="E55" s="796" t="s">
        <v>2222</v>
      </c>
      <c r="F55" s="796" t="s">
        <v>2221</v>
      </c>
      <c r="G55" s="796"/>
      <c r="H55" s="796"/>
      <c r="I55" s="796"/>
      <c r="J55" s="796" t="s">
        <v>929</v>
      </c>
      <c r="K55" s="796" t="s">
        <v>2223</v>
      </c>
      <c r="L55" s="796" t="s">
        <v>2222</v>
      </c>
      <c r="M55" s="796"/>
      <c r="N55" s="796"/>
      <c r="O55" s="796"/>
      <c r="P55" s="796"/>
      <c r="Q55" s="796"/>
      <c r="R55" s="796"/>
      <c r="S55" s="796" t="s">
        <v>930</v>
      </c>
      <c r="T55" s="796" t="s">
        <v>2222</v>
      </c>
      <c r="U55" s="796" t="s">
        <v>2222</v>
      </c>
      <c r="V55" s="796"/>
      <c r="W55" s="796"/>
      <c r="X55" s="796"/>
      <c r="Y55" s="796" t="s">
        <v>931</v>
      </c>
      <c r="Z55" s="796" t="s">
        <v>2221</v>
      </c>
      <c r="AA55" s="796" t="s">
        <v>2221</v>
      </c>
      <c r="AB55" s="796" t="s">
        <v>932</v>
      </c>
      <c r="AC55" s="796" t="s">
        <v>2224</v>
      </c>
      <c r="AD55" s="796" t="s">
        <v>2224</v>
      </c>
      <c r="AE55" s="796" t="s">
        <v>933</v>
      </c>
      <c r="AF55" s="796" t="s">
        <v>2226</v>
      </c>
      <c r="AG55" s="796" t="s">
        <v>2226</v>
      </c>
      <c r="AH55" s="796"/>
      <c r="AI55" s="796"/>
      <c r="AJ55" s="796"/>
      <c r="AK55" s="796" t="s">
        <v>934</v>
      </c>
      <c r="AL55" s="796" t="s">
        <v>2222</v>
      </c>
      <c r="AM55" s="796" t="s">
        <v>2222</v>
      </c>
      <c r="AN55" s="796" t="s">
        <v>935</v>
      </c>
      <c r="AO55" s="796" t="s">
        <v>2223</v>
      </c>
      <c r="AP55" s="796" t="s">
        <v>2222</v>
      </c>
      <c r="AQ55" s="796" t="s">
        <v>936</v>
      </c>
      <c r="AR55" s="796" t="s">
        <v>2225</v>
      </c>
      <c r="AS55" s="796" t="s">
        <v>2225</v>
      </c>
      <c r="AT55" s="796"/>
      <c r="AU55" s="796"/>
    </row>
    <row r="56" spans="1:48" ht="13.5">
      <c r="A56" s="796" t="s">
        <v>937</v>
      </c>
      <c r="B56" s="796" t="s">
        <v>2224</v>
      </c>
      <c r="C56" s="796" t="s">
        <v>2224</v>
      </c>
      <c r="D56" s="796" t="s">
        <v>938</v>
      </c>
      <c r="E56" s="796" t="s">
        <v>2225</v>
      </c>
      <c r="F56" s="796" t="s">
        <v>2225</v>
      </c>
      <c r="G56" s="796"/>
      <c r="H56" s="796"/>
      <c r="I56" s="796"/>
      <c r="J56" s="796" t="s">
        <v>939</v>
      </c>
      <c r="K56" s="796" t="s">
        <v>2223</v>
      </c>
      <c r="L56" s="796" t="s">
        <v>2223</v>
      </c>
      <c r="M56" s="796"/>
      <c r="N56" s="796"/>
      <c r="O56" s="796"/>
      <c r="P56" s="796"/>
      <c r="Q56" s="796"/>
      <c r="R56" s="796"/>
      <c r="S56" s="796" t="s">
        <v>940</v>
      </c>
      <c r="T56" s="796" t="s">
        <v>2222</v>
      </c>
      <c r="U56" s="796" t="s">
        <v>2222</v>
      </c>
      <c r="V56" s="796"/>
      <c r="W56" s="796"/>
      <c r="X56" s="796"/>
      <c r="Y56" s="796" t="s">
        <v>941</v>
      </c>
      <c r="Z56" s="796" t="s">
        <v>2221</v>
      </c>
      <c r="AA56" s="796"/>
      <c r="AB56" s="796" t="s">
        <v>942</v>
      </c>
      <c r="AC56" s="796" t="s">
        <v>2223</v>
      </c>
      <c r="AD56" s="796" t="s">
        <v>2223</v>
      </c>
      <c r="AE56" s="796" t="s">
        <v>943</v>
      </c>
      <c r="AF56" s="796" t="s">
        <v>2222</v>
      </c>
      <c r="AG56" s="796" t="s">
        <v>2222</v>
      </c>
      <c r="AH56" s="796"/>
      <c r="AI56" s="796"/>
      <c r="AJ56" s="796"/>
      <c r="AK56" s="796" t="s">
        <v>944</v>
      </c>
      <c r="AL56" s="796" t="s">
        <v>2221</v>
      </c>
      <c r="AM56" s="796" t="s">
        <v>2221</v>
      </c>
      <c r="AN56" s="796" t="s">
        <v>945</v>
      </c>
      <c r="AO56" s="796" t="s">
        <v>2222</v>
      </c>
      <c r="AP56" s="796" t="s">
        <v>2222</v>
      </c>
      <c r="AQ56" s="796" t="s">
        <v>946</v>
      </c>
      <c r="AR56" s="796" t="s">
        <v>2225</v>
      </c>
      <c r="AS56" s="796" t="s">
        <v>2225</v>
      </c>
      <c r="AT56" s="796"/>
      <c r="AU56" s="796"/>
    </row>
    <row r="57" spans="1:48" ht="13.5">
      <c r="A57" s="796" t="s">
        <v>947</v>
      </c>
      <c r="B57" s="796" t="s">
        <v>2224</v>
      </c>
      <c r="C57" s="796" t="s">
        <v>2224</v>
      </c>
      <c r="D57" s="796" t="s">
        <v>948</v>
      </c>
      <c r="E57" s="796" t="s">
        <v>2224</v>
      </c>
      <c r="F57" s="796" t="s">
        <v>2224</v>
      </c>
      <c r="G57" s="796"/>
      <c r="H57" s="796"/>
      <c r="I57" s="796"/>
      <c r="J57" s="796" t="s">
        <v>949</v>
      </c>
      <c r="K57" s="796" t="s">
        <v>2224</v>
      </c>
      <c r="L57" s="796" t="s">
        <v>2224</v>
      </c>
      <c r="M57" s="796"/>
      <c r="N57" s="796"/>
      <c r="O57" s="796"/>
      <c r="P57" s="796"/>
      <c r="Q57" s="796"/>
      <c r="R57" s="796"/>
      <c r="S57" s="796" t="s">
        <v>950</v>
      </c>
      <c r="T57" s="796" t="s">
        <v>2221</v>
      </c>
      <c r="U57" s="796" t="s">
        <v>2223</v>
      </c>
      <c r="V57" s="796"/>
      <c r="W57" s="796"/>
      <c r="X57" s="796"/>
      <c r="Y57" s="796" t="s">
        <v>951</v>
      </c>
      <c r="Z57" s="796" t="s">
        <v>2221</v>
      </c>
      <c r="AA57" s="796" t="s">
        <v>2221</v>
      </c>
      <c r="AB57" s="796" t="s">
        <v>952</v>
      </c>
      <c r="AC57" s="796" t="s">
        <v>2222</v>
      </c>
      <c r="AD57" s="796" t="s">
        <v>2222</v>
      </c>
      <c r="AE57" s="796" t="s">
        <v>953</v>
      </c>
      <c r="AF57" s="796" t="s">
        <v>2222</v>
      </c>
      <c r="AG57" s="796" t="s">
        <v>2222</v>
      </c>
      <c r="AH57" s="796"/>
      <c r="AI57" s="796"/>
      <c r="AJ57" s="796"/>
      <c r="AK57" s="796" t="s">
        <v>954</v>
      </c>
      <c r="AL57" s="796" t="s">
        <v>2221</v>
      </c>
      <c r="AM57" s="796" t="s">
        <v>2222</v>
      </c>
      <c r="AN57" s="796" t="s">
        <v>955</v>
      </c>
      <c r="AO57" s="796" t="s">
        <v>2222</v>
      </c>
      <c r="AP57" s="796" t="s">
        <v>2222</v>
      </c>
      <c r="AQ57" s="796" t="s">
        <v>956</v>
      </c>
      <c r="AR57" s="796" t="s">
        <v>2223</v>
      </c>
      <c r="AS57" s="796" t="s">
        <v>2223</v>
      </c>
      <c r="AT57" s="796"/>
      <c r="AU57" s="796"/>
    </row>
    <row r="58" spans="1:48" ht="13.5">
      <c r="A58" s="796" t="s">
        <v>957</v>
      </c>
      <c r="B58" s="796" t="s">
        <v>2223</v>
      </c>
      <c r="C58" s="796" t="s">
        <v>2223</v>
      </c>
      <c r="D58" s="796" t="s">
        <v>958</v>
      </c>
      <c r="E58" s="796" t="s">
        <v>2222</v>
      </c>
      <c r="F58" s="796" t="s">
        <v>2222</v>
      </c>
      <c r="G58" s="796"/>
      <c r="H58" s="796"/>
      <c r="I58" s="796"/>
      <c r="J58" s="796" t="s">
        <v>959</v>
      </c>
      <c r="K58" s="796" t="s">
        <v>2221</v>
      </c>
      <c r="L58" s="796" t="s">
        <v>2221</v>
      </c>
      <c r="M58" s="796"/>
      <c r="N58" s="796"/>
      <c r="O58" s="796"/>
      <c r="P58" s="796"/>
      <c r="Q58" s="796"/>
      <c r="R58" s="796"/>
      <c r="S58" s="796" t="s">
        <v>960</v>
      </c>
      <c r="T58" s="796" t="s">
        <v>2224</v>
      </c>
      <c r="U58" s="796" t="s">
        <v>2223</v>
      </c>
      <c r="V58" s="796"/>
      <c r="W58" s="796"/>
      <c r="X58" s="796"/>
      <c r="Y58" s="796" t="s">
        <v>961</v>
      </c>
      <c r="Z58" s="796" t="s">
        <v>2222</v>
      </c>
      <c r="AA58" s="796" t="s">
        <v>2223</v>
      </c>
      <c r="AB58" s="796" t="s">
        <v>962</v>
      </c>
      <c r="AC58" s="796" t="s">
        <v>2222</v>
      </c>
      <c r="AD58" s="796" t="s">
        <v>2222</v>
      </c>
      <c r="AE58" s="796" t="s">
        <v>963</v>
      </c>
      <c r="AF58" s="796" t="s">
        <v>2221</v>
      </c>
      <c r="AG58" s="796" t="s">
        <v>2221</v>
      </c>
      <c r="AH58" s="796"/>
      <c r="AI58" s="796"/>
      <c r="AJ58" s="796"/>
      <c r="AK58" s="796" t="s">
        <v>964</v>
      </c>
      <c r="AL58" s="796" t="s">
        <v>2221</v>
      </c>
      <c r="AM58" s="796" t="s">
        <v>2221</v>
      </c>
      <c r="AN58" s="796" t="s">
        <v>965</v>
      </c>
      <c r="AO58" s="796" t="s">
        <v>2222</v>
      </c>
      <c r="AP58" s="796" t="s">
        <v>2222</v>
      </c>
      <c r="AQ58" s="796" t="s">
        <v>966</v>
      </c>
      <c r="AR58" s="796" t="s">
        <v>2224</v>
      </c>
      <c r="AS58" s="796" t="s">
        <v>2225</v>
      </c>
      <c r="AT58" s="796"/>
      <c r="AU58" s="796"/>
    </row>
    <row r="59" spans="1:48" ht="13.5">
      <c r="A59" s="796" t="s">
        <v>967</v>
      </c>
      <c r="B59" s="796" t="s">
        <v>2223</v>
      </c>
      <c r="C59" s="796" t="s">
        <v>2223</v>
      </c>
      <c r="D59" s="796" t="s">
        <v>968</v>
      </c>
      <c r="E59" s="796" t="s">
        <v>2222</v>
      </c>
      <c r="F59" s="796" t="s">
        <v>2223</v>
      </c>
      <c r="G59" s="796"/>
      <c r="H59" s="796"/>
      <c r="I59" s="796"/>
      <c r="J59" s="796" t="s">
        <v>969</v>
      </c>
      <c r="K59" s="796" t="s">
        <v>2223</v>
      </c>
      <c r="L59" s="796" t="s">
        <v>2223</v>
      </c>
      <c r="M59" s="796"/>
      <c r="N59" s="796"/>
      <c r="O59" s="796"/>
      <c r="P59" s="796"/>
      <c r="Q59" s="796"/>
      <c r="R59" s="796"/>
      <c r="S59" s="796" t="s">
        <v>970</v>
      </c>
      <c r="T59" s="796" t="s">
        <v>2223</v>
      </c>
      <c r="U59" s="796" t="s">
        <v>2223</v>
      </c>
      <c r="V59" s="796"/>
      <c r="W59" s="796"/>
      <c r="X59" s="796"/>
      <c r="Y59" s="796" t="s">
        <v>971</v>
      </c>
      <c r="Z59" s="796" t="s">
        <v>2224</v>
      </c>
      <c r="AA59" s="796" t="s">
        <v>2223</v>
      </c>
      <c r="AB59" s="796" t="s">
        <v>972</v>
      </c>
      <c r="AC59" s="796" t="s">
        <v>2222</v>
      </c>
      <c r="AD59" s="796" t="s">
        <v>2221</v>
      </c>
      <c r="AE59" s="796" t="s">
        <v>973</v>
      </c>
      <c r="AF59" s="796" t="s">
        <v>2221</v>
      </c>
      <c r="AG59" s="796" t="s">
        <v>2222</v>
      </c>
      <c r="AH59" s="796"/>
      <c r="AI59" s="796"/>
      <c r="AJ59" s="796"/>
      <c r="AK59" s="796" t="s">
        <v>974</v>
      </c>
      <c r="AL59" s="796" t="s">
        <v>2221</v>
      </c>
      <c r="AM59" s="796"/>
      <c r="AN59" s="796" t="s">
        <v>975</v>
      </c>
      <c r="AO59" s="796" t="s">
        <v>2221</v>
      </c>
      <c r="AP59" s="796" t="s">
        <v>2222</v>
      </c>
      <c r="AQ59" s="796" t="s">
        <v>976</v>
      </c>
      <c r="AR59" s="796" t="s">
        <v>2427</v>
      </c>
      <c r="AS59" s="796" t="s">
        <v>2226</v>
      </c>
      <c r="AT59" s="796"/>
      <c r="AU59" s="796"/>
    </row>
    <row r="60" spans="1:48" ht="13.5">
      <c r="A60" s="796" t="s">
        <v>977</v>
      </c>
      <c r="B60" s="796" t="s">
        <v>2223</v>
      </c>
      <c r="C60" s="796" t="s">
        <v>2223</v>
      </c>
      <c r="D60" s="796" t="s">
        <v>978</v>
      </c>
      <c r="E60" s="796" t="s">
        <v>2224</v>
      </c>
      <c r="F60" s="796" t="s">
        <v>2224</v>
      </c>
      <c r="G60" s="796"/>
      <c r="H60" s="796"/>
      <c r="I60" s="796"/>
      <c r="J60" s="796" t="s">
        <v>979</v>
      </c>
      <c r="K60" s="796" t="s">
        <v>2224</v>
      </c>
      <c r="L60" s="796" t="s">
        <v>2224</v>
      </c>
      <c r="M60" s="796"/>
      <c r="N60" s="796"/>
      <c r="O60" s="796"/>
      <c r="P60" s="796"/>
      <c r="Q60" s="796"/>
      <c r="R60" s="796"/>
      <c r="S60" s="796" t="s">
        <v>980</v>
      </c>
      <c r="T60" s="796" t="s">
        <v>2223</v>
      </c>
      <c r="U60" s="796"/>
      <c r="V60" s="796"/>
      <c r="W60" s="796"/>
      <c r="X60" s="796"/>
      <c r="Y60" s="796" t="s">
        <v>981</v>
      </c>
      <c r="Z60" s="796" t="s">
        <v>2221</v>
      </c>
      <c r="AA60" s="796" t="s">
        <v>2221</v>
      </c>
      <c r="AB60" s="796" t="s">
        <v>982</v>
      </c>
      <c r="AC60" s="796" t="s">
        <v>2222</v>
      </c>
      <c r="AD60" s="796" t="s">
        <v>2223</v>
      </c>
      <c r="AE60" s="796" t="s">
        <v>983</v>
      </c>
      <c r="AF60" s="796" t="s">
        <v>2223</v>
      </c>
      <c r="AG60" s="796" t="s">
        <v>2224</v>
      </c>
      <c r="AH60" s="796"/>
      <c r="AI60" s="796"/>
      <c r="AJ60" s="796"/>
      <c r="AK60" s="796" t="s">
        <v>984</v>
      </c>
      <c r="AL60" s="796" t="s">
        <v>2222</v>
      </c>
      <c r="AM60" s="796" t="s">
        <v>2222</v>
      </c>
      <c r="AN60" s="796" t="s">
        <v>985</v>
      </c>
      <c r="AO60" s="796" t="s">
        <v>2222</v>
      </c>
      <c r="AP60" s="796" t="s">
        <v>2222</v>
      </c>
      <c r="AQ60" s="796" t="s">
        <v>986</v>
      </c>
      <c r="AR60" s="796" t="s">
        <v>2223</v>
      </c>
      <c r="AS60" s="796" t="s">
        <v>2223</v>
      </c>
      <c r="AT60" s="796"/>
      <c r="AU60" s="796"/>
    </row>
    <row r="61" spans="1:48" ht="13.5">
      <c r="A61" s="796" t="s">
        <v>987</v>
      </c>
      <c r="B61" s="796" t="s">
        <v>2224</v>
      </c>
      <c r="C61" s="796" t="s">
        <v>2224</v>
      </c>
      <c r="D61" s="796" t="s">
        <v>988</v>
      </c>
      <c r="E61" s="796" t="s">
        <v>2226</v>
      </c>
      <c r="F61" s="796" t="s">
        <v>2226</v>
      </c>
      <c r="G61" s="796"/>
      <c r="H61" s="796"/>
      <c r="I61" s="796"/>
      <c r="J61" s="796" t="s">
        <v>989</v>
      </c>
      <c r="K61" s="796" t="s">
        <v>2222</v>
      </c>
      <c r="L61" s="796" t="s">
        <v>2223</v>
      </c>
      <c r="M61" s="796"/>
      <c r="N61" s="796"/>
      <c r="O61" s="796"/>
      <c r="P61" s="796"/>
      <c r="Q61" s="796"/>
      <c r="R61" s="796"/>
      <c r="S61" s="796" t="s">
        <v>990</v>
      </c>
      <c r="T61" s="796" t="s">
        <v>2224</v>
      </c>
      <c r="U61" s="796" t="s">
        <v>2224</v>
      </c>
      <c r="V61" s="796"/>
      <c r="W61" s="796"/>
      <c r="X61" s="796"/>
      <c r="Y61" s="796" t="s">
        <v>991</v>
      </c>
      <c r="Z61" s="796" t="s">
        <v>2221</v>
      </c>
      <c r="AA61" s="796" t="s">
        <v>2221</v>
      </c>
      <c r="AB61" s="796" t="s">
        <v>992</v>
      </c>
      <c r="AC61" s="796" t="s">
        <v>2223</v>
      </c>
      <c r="AD61" s="796" t="s">
        <v>2223</v>
      </c>
      <c r="AE61" s="796" t="s">
        <v>993</v>
      </c>
      <c r="AF61" s="796" t="s">
        <v>2222</v>
      </c>
      <c r="AG61" s="796" t="s">
        <v>2222</v>
      </c>
      <c r="AH61" s="796"/>
      <c r="AI61" s="796"/>
      <c r="AJ61" s="796"/>
      <c r="AK61" s="796" t="s">
        <v>994</v>
      </c>
      <c r="AL61" s="796" t="s">
        <v>2222</v>
      </c>
      <c r="AM61" s="796" t="s">
        <v>2223</v>
      </c>
      <c r="AN61" s="796" t="s">
        <v>995</v>
      </c>
      <c r="AO61" s="796" t="s">
        <v>2222</v>
      </c>
      <c r="AP61" s="796" t="s">
        <v>2222</v>
      </c>
      <c r="AQ61" s="796" t="s">
        <v>996</v>
      </c>
      <c r="AR61" s="796" t="s">
        <v>2224</v>
      </c>
      <c r="AS61" s="796" t="s">
        <v>2224</v>
      </c>
      <c r="AT61" s="796"/>
      <c r="AU61" s="796"/>
    </row>
    <row r="62" spans="1:48" ht="13.5">
      <c r="A62" s="796" t="s">
        <v>997</v>
      </c>
      <c r="B62" s="796" t="s">
        <v>2222</v>
      </c>
      <c r="C62" s="796" t="s">
        <v>2223</v>
      </c>
      <c r="D62" s="796" t="s">
        <v>998</v>
      </c>
      <c r="E62" s="796" t="s">
        <v>2223</v>
      </c>
      <c r="F62" s="796" t="s">
        <v>2223</v>
      </c>
      <c r="G62" s="796"/>
      <c r="H62" s="796"/>
      <c r="I62" s="796"/>
      <c r="J62" s="796" t="s">
        <v>999</v>
      </c>
      <c r="K62" s="796" t="s">
        <v>2221</v>
      </c>
      <c r="L62" s="796" t="s">
        <v>2221</v>
      </c>
      <c r="M62" s="796"/>
      <c r="N62" s="796"/>
      <c r="O62" s="796"/>
      <c r="P62" s="796"/>
      <c r="Q62" s="796"/>
      <c r="R62" s="796"/>
      <c r="S62" s="796" t="s">
        <v>1000</v>
      </c>
      <c r="T62" s="796" t="s">
        <v>2224</v>
      </c>
      <c r="U62" s="796" t="s">
        <v>2224</v>
      </c>
      <c r="V62" s="796"/>
      <c r="W62" s="796"/>
      <c r="X62" s="796"/>
      <c r="Y62" s="796" t="s">
        <v>1001</v>
      </c>
      <c r="Z62" s="796" t="s">
        <v>2222</v>
      </c>
      <c r="AA62" s="796"/>
      <c r="AB62" s="796" t="s">
        <v>1002</v>
      </c>
      <c r="AC62" s="796" t="s">
        <v>2224</v>
      </c>
      <c r="AD62" s="796" t="s">
        <v>2224</v>
      </c>
      <c r="AE62" s="796" t="s">
        <v>1003</v>
      </c>
      <c r="AF62" s="796" t="s">
        <v>2222</v>
      </c>
      <c r="AG62" s="796" t="s">
        <v>2222</v>
      </c>
      <c r="AH62" s="796"/>
      <c r="AI62" s="796"/>
      <c r="AJ62" s="796"/>
      <c r="AK62" s="796" t="s">
        <v>1004</v>
      </c>
      <c r="AL62" s="796" t="s">
        <v>2221</v>
      </c>
      <c r="AM62" s="796" t="s">
        <v>2221</v>
      </c>
      <c r="AN62" s="796" t="s">
        <v>1005</v>
      </c>
      <c r="AO62" s="796" t="s">
        <v>2222</v>
      </c>
      <c r="AP62" s="796" t="s">
        <v>2222</v>
      </c>
      <c r="AQ62" s="796" t="s">
        <v>1006</v>
      </c>
      <c r="AR62" s="796" t="s">
        <v>2224</v>
      </c>
      <c r="AS62" s="796" t="s">
        <v>2224</v>
      </c>
      <c r="AT62" s="796"/>
      <c r="AU62" s="796"/>
    </row>
    <row r="63" spans="1:48" ht="13.5">
      <c r="A63" s="796" t="s">
        <v>1007</v>
      </c>
      <c r="B63" s="796" t="s">
        <v>2223</v>
      </c>
      <c r="C63" s="796" t="s">
        <v>2223</v>
      </c>
      <c r="D63" s="796" t="s">
        <v>1008</v>
      </c>
      <c r="E63" s="796" t="s">
        <v>2427</v>
      </c>
      <c r="F63" s="796" t="s">
        <v>2226</v>
      </c>
      <c r="G63" s="796"/>
      <c r="H63" s="796"/>
      <c r="I63" s="796"/>
      <c r="J63" s="796" t="s">
        <v>1009</v>
      </c>
      <c r="K63" s="796" t="s">
        <v>2223</v>
      </c>
      <c r="L63" s="796" t="s">
        <v>2224</v>
      </c>
      <c r="M63" s="796"/>
      <c r="N63" s="796"/>
      <c r="O63" s="796"/>
      <c r="P63" s="796"/>
      <c r="Q63" s="796"/>
      <c r="R63" s="796"/>
      <c r="S63" s="796" t="s">
        <v>1010</v>
      </c>
      <c r="T63" s="796" t="s">
        <v>2222</v>
      </c>
      <c r="U63" s="796" t="s">
        <v>2222</v>
      </c>
      <c r="V63" s="796"/>
      <c r="W63" s="796"/>
      <c r="X63" s="796"/>
      <c r="Y63" s="796" t="s">
        <v>1011</v>
      </c>
      <c r="Z63" s="796" t="s">
        <v>2223</v>
      </c>
      <c r="AA63" s="796" t="s">
        <v>2224</v>
      </c>
      <c r="AB63" s="796" t="s">
        <v>1012</v>
      </c>
      <c r="AC63" s="796" t="s">
        <v>2223</v>
      </c>
      <c r="AD63" s="796" t="s">
        <v>2223</v>
      </c>
      <c r="AE63" s="796" t="s">
        <v>1013</v>
      </c>
      <c r="AF63" s="796" t="s">
        <v>2221</v>
      </c>
      <c r="AG63" s="796" t="s">
        <v>2221</v>
      </c>
      <c r="AH63" s="796"/>
      <c r="AI63" s="796"/>
      <c r="AJ63" s="796"/>
      <c r="AK63" s="796" t="s">
        <v>1014</v>
      </c>
      <c r="AL63" s="796" t="s">
        <v>2222</v>
      </c>
      <c r="AM63" s="796" t="s">
        <v>2223</v>
      </c>
      <c r="AN63" s="796" t="s">
        <v>1015</v>
      </c>
      <c r="AO63" s="796" t="s">
        <v>2222</v>
      </c>
      <c r="AP63" s="796" t="s">
        <v>2221</v>
      </c>
      <c r="AQ63" s="796" t="s">
        <v>1016</v>
      </c>
      <c r="AR63" s="796" t="s">
        <v>2224</v>
      </c>
      <c r="AS63" s="796" t="s">
        <v>2224</v>
      </c>
      <c r="AT63" s="796"/>
      <c r="AU63" s="796"/>
    </row>
    <row r="64" spans="1:48" ht="13.5">
      <c r="A64" s="796" t="s">
        <v>1017</v>
      </c>
      <c r="B64" s="796" t="s">
        <v>2225</v>
      </c>
      <c r="C64" s="796" t="s">
        <v>2226</v>
      </c>
      <c r="D64" s="796" t="s">
        <v>1018</v>
      </c>
      <c r="E64" s="796" t="s">
        <v>2224</v>
      </c>
      <c r="F64" s="796" t="s">
        <v>2223</v>
      </c>
      <c r="G64" s="796"/>
      <c r="H64" s="796"/>
      <c r="I64" s="796"/>
      <c r="J64" s="796" t="s">
        <v>1019</v>
      </c>
      <c r="K64" s="796" t="s">
        <v>2222</v>
      </c>
      <c r="L64" s="796" t="s">
        <v>2222</v>
      </c>
      <c r="M64" s="796"/>
      <c r="N64" s="796"/>
      <c r="O64" s="796"/>
      <c r="P64" s="796"/>
      <c r="Q64" s="796"/>
      <c r="R64" s="796"/>
      <c r="S64" s="796" t="s">
        <v>1020</v>
      </c>
      <c r="T64" s="796" t="s">
        <v>2225</v>
      </c>
      <c r="U64" s="796" t="s">
        <v>2225</v>
      </c>
      <c r="V64" s="796"/>
      <c r="W64" s="796"/>
      <c r="X64" s="796"/>
      <c r="Y64" s="796" t="s">
        <v>1021</v>
      </c>
      <c r="Z64" s="796" t="s">
        <v>2222</v>
      </c>
      <c r="AA64" s="796" t="s">
        <v>2222</v>
      </c>
      <c r="AB64" s="796" t="s">
        <v>1022</v>
      </c>
      <c r="AC64" s="796" t="s">
        <v>2223</v>
      </c>
      <c r="AD64" s="796" t="s">
        <v>2223</v>
      </c>
      <c r="AE64" s="796" t="s">
        <v>1023</v>
      </c>
      <c r="AF64" s="796" t="s">
        <v>2223</v>
      </c>
      <c r="AG64" s="796" t="s">
        <v>2223</v>
      </c>
      <c r="AH64" s="796"/>
      <c r="AI64" s="796"/>
      <c r="AJ64" s="796"/>
      <c r="AK64" s="796" t="s">
        <v>1024</v>
      </c>
      <c r="AL64" s="796" t="s">
        <v>2223</v>
      </c>
      <c r="AM64" s="796" t="s">
        <v>2223</v>
      </c>
      <c r="AN64" s="796" t="s">
        <v>1025</v>
      </c>
      <c r="AO64" s="796" t="s">
        <v>2222</v>
      </c>
      <c r="AP64" s="796" t="s">
        <v>2222</v>
      </c>
      <c r="AQ64" s="796" t="s">
        <v>1026</v>
      </c>
      <c r="AR64" s="796" t="s">
        <v>2226</v>
      </c>
      <c r="AS64" s="796" t="s">
        <v>2226</v>
      </c>
      <c r="AT64" s="796"/>
      <c r="AU64" s="796"/>
    </row>
    <row r="65" spans="1:47" ht="13.5">
      <c r="A65" s="796" t="s">
        <v>1027</v>
      </c>
      <c r="B65" s="796" t="s">
        <v>2222</v>
      </c>
      <c r="C65" s="796" t="s">
        <v>2222</v>
      </c>
      <c r="D65" s="796" t="s">
        <v>1028</v>
      </c>
      <c r="E65" s="796" t="s">
        <v>2223</v>
      </c>
      <c r="F65" s="796" t="s">
        <v>2223</v>
      </c>
      <c r="G65" s="796"/>
      <c r="H65" s="796"/>
      <c r="I65" s="796"/>
      <c r="J65" s="796" t="s">
        <v>1029</v>
      </c>
      <c r="K65" s="796" t="s">
        <v>2222</v>
      </c>
      <c r="L65" s="796" t="s">
        <v>2222</v>
      </c>
      <c r="M65" s="796"/>
      <c r="N65" s="796"/>
      <c r="O65" s="796"/>
      <c r="P65" s="796"/>
      <c r="Q65" s="796"/>
      <c r="R65" s="796"/>
      <c r="S65" s="796" t="s">
        <v>1030</v>
      </c>
      <c r="T65" s="796" t="s">
        <v>2225</v>
      </c>
      <c r="U65" s="796" t="s">
        <v>2225</v>
      </c>
      <c r="V65" s="796"/>
      <c r="W65" s="796"/>
      <c r="X65" s="796"/>
      <c r="Y65" s="796" t="s">
        <v>1031</v>
      </c>
      <c r="Z65" s="796" t="s">
        <v>2223</v>
      </c>
      <c r="AA65" s="796" t="s">
        <v>2223</v>
      </c>
      <c r="AB65" s="796" t="s">
        <v>1032</v>
      </c>
      <c r="AC65" s="796" t="s">
        <v>2222</v>
      </c>
      <c r="AD65" s="796" t="s">
        <v>2222</v>
      </c>
      <c r="AE65" s="796" t="s">
        <v>1033</v>
      </c>
      <c r="AF65" s="796" t="s">
        <v>2223</v>
      </c>
      <c r="AG65" s="796" t="s">
        <v>2223</v>
      </c>
      <c r="AH65" s="796"/>
      <c r="AI65" s="796"/>
      <c r="AJ65" s="796"/>
      <c r="AK65" s="796" t="s">
        <v>1034</v>
      </c>
      <c r="AL65" s="796" t="s">
        <v>2221</v>
      </c>
      <c r="AM65" s="796" t="s">
        <v>2221</v>
      </c>
      <c r="AN65" s="796" t="s">
        <v>1035</v>
      </c>
      <c r="AO65" s="796" t="s">
        <v>2222</v>
      </c>
      <c r="AP65" s="796" t="s">
        <v>2222</v>
      </c>
      <c r="AQ65" s="796" t="s">
        <v>1036</v>
      </c>
      <c r="AR65" s="796" t="s">
        <v>2225</v>
      </c>
      <c r="AS65" s="796" t="s">
        <v>2224</v>
      </c>
      <c r="AT65" s="796"/>
      <c r="AU65" s="796"/>
    </row>
    <row r="66" spans="1:47" ht="13.5">
      <c r="A66" s="796" t="s">
        <v>784</v>
      </c>
      <c r="B66" s="796" t="s">
        <v>2223</v>
      </c>
      <c r="C66" s="796" t="s">
        <v>2223</v>
      </c>
      <c r="D66" s="796" t="s">
        <v>1037</v>
      </c>
      <c r="E66" s="796" t="s">
        <v>2224</v>
      </c>
      <c r="F66" s="796" t="s">
        <v>2223</v>
      </c>
      <c r="G66" s="796"/>
      <c r="H66" s="796"/>
      <c r="I66" s="796"/>
      <c r="J66" s="796" t="s">
        <v>1038</v>
      </c>
      <c r="K66" s="796" t="s">
        <v>2223</v>
      </c>
      <c r="L66" s="796" t="s">
        <v>2224</v>
      </c>
      <c r="M66" s="796"/>
      <c r="N66" s="796"/>
      <c r="O66" s="796"/>
      <c r="P66" s="796"/>
      <c r="Q66" s="796"/>
      <c r="R66" s="796"/>
      <c r="S66" s="796" t="s">
        <v>1039</v>
      </c>
      <c r="T66" s="796" t="s">
        <v>2224</v>
      </c>
      <c r="U66" s="796" t="s">
        <v>2223</v>
      </c>
      <c r="V66" s="796"/>
      <c r="W66" s="796"/>
      <c r="X66" s="796"/>
      <c r="Y66" s="796" t="s">
        <v>1040</v>
      </c>
      <c r="Z66" s="796" t="s">
        <v>2221</v>
      </c>
      <c r="AA66" s="796"/>
      <c r="AB66" s="796" t="s">
        <v>1041</v>
      </c>
      <c r="AC66" s="796" t="s">
        <v>2222</v>
      </c>
      <c r="AD66" s="796" t="s">
        <v>2221</v>
      </c>
      <c r="AE66" s="796" t="s">
        <v>1042</v>
      </c>
      <c r="AF66" s="796" t="s">
        <v>2222</v>
      </c>
      <c r="AG66" s="796" t="s">
        <v>2222</v>
      </c>
      <c r="AH66" s="796"/>
      <c r="AI66" s="796"/>
      <c r="AJ66" s="796"/>
      <c r="AK66" s="796" t="s">
        <v>1043</v>
      </c>
      <c r="AL66" s="796" t="s">
        <v>2222</v>
      </c>
      <c r="AM66" s="796" t="s">
        <v>2222</v>
      </c>
      <c r="AN66" s="796" t="s">
        <v>1044</v>
      </c>
      <c r="AO66" s="796" t="s">
        <v>2222</v>
      </c>
      <c r="AP66" s="796" t="s">
        <v>2222</v>
      </c>
      <c r="AQ66" s="796" t="s">
        <v>1045</v>
      </c>
      <c r="AR66" s="796" t="s">
        <v>2224</v>
      </c>
      <c r="AS66" s="796" t="s">
        <v>2224</v>
      </c>
      <c r="AT66" s="796"/>
      <c r="AU66" s="796"/>
    </row>
    <row r="67" spans="1:47" ht="13.5">
      <c r="A67" s="796" t="s">
        <v>1046</v>
      </c>
      <c r="B67" s="796" t="s">
        <v>2225</v>
      </c>
      <c r="C67" s="796" t="s">
        <v>2225</v>
      </c>
      <c r="D67" s="796" t="s">
        <v>1047</v>
      </c>
      <c r="E67" s="796" t="s">
        <v>2226</v>
      </c>
      <c r="F67" s="796" t="s">
        <v>2226</v>
      </c>
      <c r="G67" s="796"/>
      <c r="H67" s="796"/>
      <c r="I67" s="796"/>
      <c r="J67" s="796" t="s">
        <v>1048</v>
      </c>
      <c r="K67" s="796" t="s">
        <v>2223</v>
      </c>
      <c r="L67" s="796" t="s">
        <v>2224</v>
      </c>
      <c r="M67" s="796"/>
      <c r="N67" s="796"/>
      <c r="O67" s="796"/>
      <c r="P67" s="796"/>
      <c r="Q67" s="796"/>
      <c r="R67" s="796"/>
      <c r="S67" s="796" t="s">
        <v>1049</v>
      </c>
      <c r="T67" s="796" t="s">
        <v>2224</v>
      </c>
      <c r="U67" s="796" t="s">
        <v>2225</v>
      </c>
      <c r="V67" s="796"/>
      <c r="W67" s="796"/>
      <c r="X67" s="796"/>
      <c r="Y67" s="796" t="s">
        <v>1050</v>
      </c>
      <c r="Z67" s="796" t="s">
        <v>2222</v>
      </c>
      <c r="AA67" s="796" t="s">
        <v>2222</v>
      </c>
      <c r="AB67" s="796" t="s">
        <v>1051</v>
      </c>
      <c r="AC67" s="796" t="s">
        <v>2223</v>
      </c>
      <c r="AD67" s="796" t="s">
        <v>2223</v>
      </c>
      <c r="AE67" s="796" t="s">
        <v>1052</v>
      </c>
      <c r="AF67" s="796" t="s">
        <v>2223</v>
      </c>
      <c r="AG67" s="796" t="s">
        <v>2223</v>
      </c>
      <c r="AH67" s="796"/>
      <c r="AI67" s="796"/>
      <c r="AJ67" s="796"/>
      <c r="AK67" s="796" t="s">
        <v>1053</v>
      </c>
      <c r="AL67" s="796" t="s">
        <v>2222</v>
      </c>
      <c r="AM67" s="796" t="s">
        <v>2222</v>
      </c>
      <c r="AN67" s="796" t="s">
        <v>1054</v>
      </c>
      <c r="AO67" s="796"/>
      <c r="AP67" s="796" t="s">
        <v>2222</v>
      </c>
      <c r="AQ67" s="796" t="s">
        <v>1055</v>
      </c>
      <c r="AR67" s="796" t="s">
        <v>2226</v>
      </c>
      <c r="AS67" s="796" t="s">
        <v>2226</v>
      </c>
      <c r="AT67" s="796"/>
      <c r="AU67" s="796"/>
    </row>
    <row r="68" spans="1:47" ht="13.5">
      <c r="A68" s="796" t="s">
        <v>1056</v>
      </c>
      <c r="B68" s="796" t="s">
        <v>2222</v>
      </c>
      <c r="C68" s="796" t="s">
        <v>2222</v>
      </c>
      <c r="D68" s="796" t="s">
        <v>1057</v>
      </c>
      <c r="E68" s="796" t="s">
        <v>2226</v>
      </c>
      <c r="F68" s="796" t="s">
        <v>2225</v>
      </c>
      <c r="G68" s="796"/>
      <c r="H68" s="796"/>
      <c r="I68" s="796"/>
      <c r="J68" s="796" t="s">
        <v>1058</v>
      </c>
      <c r="K68" s="796" t="s">
        <v>2222</v>
      </c>
      <c r="L68" s="796" t="s">
        <v>2222</v>
      </c>
      <c r="M68" s="796"/>
      <c r="N68" s="796"/>
      <c r="O68" s="796"/>
      <c r="P68" s="796"/>
      <c r="Q68" s="796"/>
      <c r="R68" s="796"/>
      <c r="S68" s="796" t="s">
        <v>1059</v>
      </c>
      <c r="T68" s="796" t="s">
        <v>2221</v>
      </c>
      <c r="U68" s="796" t="s">
        <v>2222</v>
      </c>
      <c r="V68" s="796"/>
      <c r="W68" s="796"/>
      <c r="X68" s="796"/>
      <c r="Y68" s="796" t="s">
        <v>1060</v>
      </c>
      <c r="Z68" s="796" t="s">
        <v>2224</v>
      </c>
      <c r="AA68" s="796" t="s">
        <v>2224</v>
      </c>
      <c r="AB68" s="796" t="s">
        <v>1061</v>
      </c>
      <c r="AC68" s="796" t="s">
        <v>2222</v>
      </c>
      <c r="AD68" s="796" t="s">
        <v>2222</v>
      </c>
      <c r="AE68" s="796" t="s">
        <v>1062</v>
      </c>
      <c r="AF68" s="796" t="s">
        <v>2223</v>
      </c>
      <c r="AG68" s="796" t="s">
        <v>2223</v>
      </c>
      <c r="AH68" s="796"/>
      <c r="AI68" s="796"/>
      <c r="AJ68" s="796"/>
      <c r="AK68" s="796" t="s">
        <v>1063</v>
      </c>
      <c r="AL68" s="796" t="s">
        <v>2221</v>
      </c>
      <c r="AM68" s="796" t="s">
        <v>2222</v>
      </c>
      <c r="AN68" s="796" t="s">
        <v>1064</v>
      </c>
      <c r="AO68" s="796" t="s">
        <v>2222</v>
      </c>
      <c r="AP68" s="796" t="s">
        <v>2222</v>
      </c>
      <c r="AQ68" s="796" t="s">
        <v>1065</v>
      </c>
      <c r="AR68" s="796" t="s">
        <v>2225</v>
      </c>
      <c r="AS68" s="796" t="s">
        <v>2224</v>
      </c>
      <c r="AT68" s="796"/>
      <c r="AU68" s="796"/>
    </row>
    <row r="69" spans="1:47" ht="13.5">
      <c r="A69" s="796" t="s">
        <v>1066</v>
      </c>
      <c r="B69" s="796" t="s">
        <v>2224</v>
      </c>
      <c r="C69" s="796" t="s">
        <v>2224</v>
      </c>
      <c r="D69" s="796" t="s">
        <v>1067</v>
      </c>
      <c r="E69" s="796" t="s">
        <v>2427</v>
      </c>
      <c r="F69" s="796" t="s">
        <v>2226</v>
      </c>
      <c r="G69" s="796"/>
      <c r="H69" s="796"/>
      <c r="I69" s="796"/>
      <c r="J69" s="796" t="s">
        <v>1068</v>
      </c>
      <c r="K69" s="796" t="s">
        <v>2224</v>
      </c>
      <c r="L69" s="796" t="s">
        <v>2224</v>
      </c>
      <c r="M69" s="796"/>
      <c r="N69" s="796"/>
      <c r="O69" s="796"/>
      <c r="P69" s="796"/>
      <c r="Q69" s="796"/>
      <c r="R69" s="796"/>
      <c r="S69" s="796" t="s">
        <v>1069</v>
      </c>
      <c r="T69" s="796" t="s">
        <v>2222</v>
      </c>
      <c r="U69" s="796" t="s">
        <v>2223</v>
      </c>
      <c r="V69" s="796"/>
      <c r="W69" s="796"/>
      <c r="X69" s="796"/>
      <c r="Y69" s="796" t="s">
        <v>1070</v>
      </c>
      <c r="Z69" s="796" t="s">
        <v>2221</v>
      </c>
      <c r="AA69" s="796"/>
      <c r="AB69" s="796" t="s">
        <v>1071</v>
      </c>
      <c r="AC69" s="796" t="s">
        <v>2223</v>
      </c>
      <c r="AD69" s="796" t="s">
        <v>2223</v>
      </c>
      <c r="AE69" s="796" t="s">
        <v>1072</v>
      </c>
      <c r="AF69" s="796" t="s">
        <v>2222</v>
      </c>
      <c r="AG69" s="796" t="s">
        <v>2222</v>
      </c>
      <c r="AH69" s="796"/>
      <c r="AI69" s="796"/>
      <c r="AJ69" s="796"/>
      <c r="AK69" s="796" t="s">
        <v>1073</v>
      </c>
      <c r="AL69" s="796" t="s">
        <v>2221</v>
      </c>
      <c r="AM69" s="796" t="s">
        <v>2222</v>
      </c>
      <c r="AN69" s="796" t="s">
        <v>1074</v>
      </c>
      <c r="AO69" s="796" t="s">
        <v>2222</v>
      </c>
      <c r="AP69" s="796" t="s">
        <v>2222</v>
      </c>
      <c r="AQ69" s="796"/>
      <c r="AR69" s="796"/>
      <c r="AS69" s="796"/>
      <c r="AT69" s="796"/>
      <c r="AU69" s="796"/>
    </row>
    <row r="70" spans="1:47" ht="13.5">
      <c r="A70" s="796" t="s">
        <v>1075</v>
      </c>
      <c r="B70" s="796" t="s">
        <v>2225</v>
      </c>
      <c r="C70" s="796" t="s">
        <v>2226</v>
      </c>
      <c r="D70" s="796" t="s">
        <v>1076</v>
      </c>
      <c r="E70" s="796" t="s">
        <v>2222</v>
      </c>
      <c r="F70" s="796" t="s">
        <v>2222</v>
      </c>
      <c r="G70" s="796"/>
      <c r="H70" s="796"/>
      <c r="I70" s="796"/>
      <c r="J70" s="796" t="s">
        <v>1077</v>
      </c>
      <c r="K70" s="796" t="s">
        <v>2222</v>
      </c>
      <c r="L70" s="796" t="s">
        <v>2223</v>
      </c>
      <c r="M70" s="796"/>
      <c r="N70" s="796"/>
      <c r="O70" s="796"/>
      <c r="P70" s="796"/>
      <c r="Q70" s="796"/>
      <c r="R70" s="796"/>
      <c r="S70" s="796" t="s">
        <v>1078</v>
      </c>
      <c r="T70" s="796" t="s">
        <v>2222</v>
      </c>
      <c r="U70" s="796" t="s">
        <v>2222</v>
      </c>
      <c r="V70" s="796"/>
      <c r="W70" s="796"/>
      <c r="X70" s="796"/>
      <c r="Y70" s="796" t="s">
        <v>1079</v>
      </c>
      <c r="Z70" s="796" t="s">
        <v>2221</v>
      </c>
      <c r="AA70" s="796" t="s">
        <v>2221</v>
      </c>
      <c r="AB70" s="796" t="s">
        <v>1080</v>
      </c>
      <c r="AC70" s="796" t="s">
        <v>2226</v>
      </c>
      <c r="AD70" s="796" t="s">
        <v>2226</v>
      </c>
      <c r="AE70" s="796" t="s">
        <v>1081</v>
      </c>
      <c r="AF70" s="796" t="s">
        <v>2223</v>
      </c>
      <c r="AG70" s="796" t="s">
        <v>2223</v>
      </c>
      <c r="AH70" s="796"/>
      <c r="AI70" s="796"/>
      <c r="AJ70" s="796"/>
      <c r="AK70" s="796" t="s">
        <v>1082</v>
      </c>
      <c r="AL70" s="796" t="s">
        <v>2222</v>
      </c>
      <c r="AM70" s="796" t="s">
        <v>2222</v>
      </c>
      <c r="AN70" s="796" t="s">
        <v>1083</v>
      </c>
      <c r="AO70" s="796" t="s">
        <v>2222</v>
      </c>
      <c r="AP70" s="796" t="s">
        <v>2222</v>
      </c>
      <c r="AQ70" s="796"/>
      <c r="AR70" s="796"/>
      <c r="AS70" s="796"/>
      <c r="AT70" s="796"/>
      <c r="AU70" s="796"/>
    </row>
    <row r="71" spans="1:47" ht="13.5">
      <c r="A71" s="796" t="s">
        <v>1084</v>
      </c>
      <c r="B71" s="796" t="s">
        <v>2225</v>
      </c>
      <c r="C71" s="796" t="s">
        <v>2226</v>
      </c>
      <c r="D71" s="796" t="s">
        <v>1085</v>
      </c>
      <c r="E71" s="796" t="s">
        <v>2221</v>
      </c>
      <c r="F71" s="796" t="s">
        <v>2221</v>
      </c>
      <c r="G71" s="796"/>
      <c r="H71" s="796"/>
      <c r="I71" s="796"/>
      <c r="J71" s="796" t="s">
        <v>1086</v>
      </c>
      <c r="K71" s="796" t="s">
        <v>2222</v>
      </c>
      <c r="L71" s="796" t="s">
        <v>2222</v>
      </c>
      <c r="M71" s="796"/>
      <c r="N71" s="796"/>
      <c r="O71" s="796"/>
      <c r="P71" s="796"/>
      <c r="Q71" s="796"/>
      <c r="R71" s="796"/>
      <c r="S71" s="796" t="s">
        <v>1087</v>
      </c>
      <c r="T71" s="796" t="s">
        <v>2221</v>
      </c>
      <c r="U71" s="796" t="s">
        <v>2222</v>
      </c>
      <c r="V71" s="796"/>
      <c r="W71" s="796"/>
      <c r="X71" s="796"/>
      <c r="Y71" s="796" t="s">
        <v>1088</v>
      </c>
      <c r="Z71" s="796" t="s">
        <v>2222</v>
      </c>
      <c r="AA71" s="796" t="s">
        <v>2222</v>
      </c>
      <c r="AB71" s="796" t="s">
        <v>1089</v>
      </c>
      <c r="AC71" s="796" t="s">
        <v>2222</v>
      </c>
      <c r="AD71" s="796" t="s">
        <v>2222</v>
      </c>
      <c r="AE71" s="796" t="s">
        <v>1090</v>
      </c>
      <c r="AF71" s="796" t="s">
        <v>2223</v>
      </c>
      <c r="AG71" s="796" t="s">
        <v>2223</v>
      </c>
      <c r="AH71" s="796"/>
      <c r="AI71" s="796"/>
      <c r="AJ71" s="796"/>
      <c r="AK71" s="796" t="s">
        <v>1091</v>
      </c>
      <c r="AL71" s="796" t="s">
        <v>2223</v>
      </c>
      <c r="AM71" s="796" t="s">
        <v>2223</v>
      </c>
      <c r="AN71" s="796" t="s">
        <v>1092</v>
      </c>
      <c r="AO71" s="796" t="s">
        <v>2222</v>
      </c>
      <c r="AP71" s="796" t="s">
        <v>2222</v>
      </c>
      <c r="AQ71" s="796"/>
      <c r="AR71" s="796"/>
      <c r="AS71" s="796"/>
      <c r="AT71" s="796"/>
      <c r="AU71" s="796"/>
    </row>
    <row r="72" spans="1:47" ht="13.5">
      <c r="A72" s="796" t="s">
        <v>1093</v>
      </c>
      <c r="B72" s="796" t="s">
        <v>2225</v>
      </c>
      <c r="C72" s="796" t="s">
        <v>2225</v>
      </c>
      <c r="D72" s="796" t="s">
        <v>1094</v>
      </c>
      <c r="E72" s="796" t="s">
        <v>2224</v>
      </c>
      <c r="F72" s="796" t="s">
        <v>2224</v>
      </c>
      <c r="G72" s="796"/>
      <c r="H72" s="796"/>
      <c r="I72" s="796"/>
      <c r="J72" s="796" t="s">
        <v>1095</v>
      </c>
      <c r="K72" s="796" t="s">
        <v>2224</v>
      </c>
      <c r="L72" s="796" t="s">
        <v>2224</v>
      </c>
      <c r="M72" s="796"/>
      <c r="N72" s="796"/>
      <c r="O72" s="796"/>
      <c r="P72" s="796"/>
      <c r="Q72" s="796"/>
      <c r="R72" s="796"/>
      <c r="S72" s="796" t="s">
        <v>1096</v>
      </c>
      <c r="T72" s="796" t="s">
        <v>2223</v>
      </c>
      <c r="U72" s="796" t="s">
        <v>2224</v>
      </c>
      <c r="V72" s="796"/>
      <c r="W72" s="796"/>
      <c r="X72" s="796"/>
      <c r="Y72" s="796" t="s">
        <v>1097</v>
      </c>
      <c r="Z72" s="796" t="s">
        <v>2221</v>
      </c>
      <c r="AA72" s="796" t="s">
        <v>2222</v>
      </c>
      <c r="AB72" s="796" t="s">
        <v>1098</v>
      </c>
      <c r="AC72" s="796" t="s">
        <v>2223</v>
      </c>
      <c r="AD72" s="796" t="s">
        <v>2224</v>
      </c>
      <c r="AE72" s="796" t="s">
        <v>1099</v>
      </c>
      <c r="AF72" s="796" t="s">
        <v>2221</v>
      </c>
      <c r="AG72" s="796" t="s">
        <v>2221</v>
      </c>
      <c r="AH72" s="796"/>
      <c r="AI72" s="796"/>
      <c r="AJ72" s="796"/>
      <c r="AK72" s="796" t="s">
        <v>1100</v>
      </c>
      <c r="AL72" s="796" t="s">
        <v>2221</v>
      </c>
      <c r="AM72" s="796" t="s">
        <v>2222</v>
      </c>
      <c r="AN72" s="796"/>
      <c r="AO72" s="796"/>
      <c r="AP72" s="796"/>
      <c r="AQ72" s="796"/>
      <c r="AR72" s="796"/>
      <c r="AS72" s="796"/>
      <c r="AT72" s="796"/>
      <c r="AU72" s="796"/>
    </row>
    <row r="73" spans="1:47" ht="13.5">
      <c r="A73" s="796" t="s">
        <v>1101</v>
      </c>
      <c r="B73" s="796" t="s">
        <v>2226</v>
      </c>
      <c r="C73" s="796" t="s">
        <v>2226</v>
      </c>
      <c r="D73" s="796" t="s">
        <v>1102</v>
      </c>
      <c r="E73" s="796" t="s">
        <v>2427</v>
      </c>
      <c r="F73" s="796" t="s">
        <v>2226</v>
      </c>
      <c r="G73" s="796"/>
      <c r="H73" s="796"/>
      <c r="I73" s="796"/>
      <c r="J73" s="796" t="s">
        <v>1103</v>
      </c>
      <c r="K73" s="796" t="s">
        <v>2222</v>
      </c>
      <c r="L73" s="796" t="s">
        <v>2223</v>
      </c>
      <c r="M73" s="796"/>
      <c r="N73" s="796"/>
      <c r="O73" s="796"/>
      <c r="P73" s="796"/>
      <c r="Q73" s="796"/>
      <c r="R73" s="796"/>
      <c r="S73" s="796" t="s">
        <v>1104</v>
      </c>
      <c r="T73" s="796" t="s">
        <v>2224</v>
      </c>
      <c r="U73" s="796" t="s">
        <v>2224</v>
      </c>
      <c r="V73" s="796"/>
      <c r="W73" s="796"/>
      <c r="X73" s="796"/>
      <c r="Y73" s="796" t="s">
        <v>1105</v>
      </c>
      <c r="Z73" s="796" t="s">
        <v>2221</v>
      </c>
      <c r="AA73" s="796" t="s">
        <v>2221</v>
      </c>
      <c r="AB73" s="796" t="s">
        <v>1106</v>
      </c>
      <c r="AC73" s="796" t="s">
        <v>2222</v>
      </c>
      <c r="AD73" s="796" t="s">
        <v>2223</v>
      </c>
      <c r="AE73" s="796"/>
      <c r="AF73" s="796"/>
      <c r="AG73" s="796"/>
      <c r="AH73" s="796"/>
      <c r="AI73" s="796"/>
      <c r="AJ73" s="796"/>
      <c r="AK73" s="796" t="s">
        <v>1107</v>
      </c>
      <c r="AL73" s="796" t="s">
        <v>2222</v>
      </c>
      <c r="AM73" s="796" t="s">
        <v>2223</v>
      </c>
      <c r="AN73" s="796"/>
      <c r="AO73" s="796"/>
      <c r="AP73" s="796"/>
      <c r="AQ73" s="796"/>
      <c r="AR73" s="796"/>
      <c r="AS73" s="796"/>
      <c r="AT73" s="796"/>
      <c r="AU73" s="796"/>
    </row>
    <row r="74" spans="1:47" ht="13.5">
      <c r="A74" s="796" t="s">
        <v>1108</v>
      </c>
      <c r="B74" s="796" t="s">
        <v>2223</v>
      </c>
      <c r="C74" s="796" t="s">
        <v>2223</v>
      </c>
      <c r="D74" s="796" t="s">
        <v>1109</v>
      </c>
      <c r="E74" s="796" t="s">
        <v>2223</v>
      </c>
      <c r="F74" s="796" t="s">
        <v>2223</v>
      </c>
      <c r="G74" s="796"/>
      <c r="H74" s="796"/>
      <c r="I74" s="796"/>
      <c r="J74" s="796" t="s">
        <v>1110</v>
      </c>
      <c r="K74" s="796" t="s">
        <v>2224</v>
      </c>
      <c r="L74" s="796" t="s">
        <v>2224</v>
      </c>
      <c r="M74" s="796"/>
      <c r="N74" s="796"/>
      <c r="O74" s="796"/>
      <c r="P74" s="796"/>
      <c r="Q74" s="796"/>
      <c r="R74" s="796"/>
      <c r="S74" s="796" t="s">
        <v>1111</v>
      </c>
      <c r="T74" s="796" t="s">
        <v>2226</v>
      </c>
      <c r="U74" s="796" t="s">
        <v>2226</v>
      </c>
      <c r="V74" s="796"/>
      <c r="W74" s="796"/>
      <c r="X74" s="796"/>
      <c r="Y74" s="796" t="s">
        <v>1112</v>
      </c>
      <c r="Z74" s="796" t="s">
        <v>2222</v>
      </c>
      <c r="AA74" s="796" t="s">
        <v>2222</v>
      </c>
      <c r="AB74" s="796" t="s">
        <v>1113</v>
      </c>
      <c r="AC74" s="796" t="s">
        <v>2222</v>
      </c>
      <c r="AD74" s="796" t="s">
        <v>2222</v>
      </c>
      <c r="AE74" s="796"/>
      <c r="AF74" s="796"/>
      <c r="AG74" s="796"/>
      <c r="AH74" s="796"/>
      <c r="AI74" s="796"/>
      <c r="AJ74" s="796"/>
      <c r="AK74" s="796" t="s">
        <v>1114</v>
      </c>
      <c r="AL74" s="796" t="s">
        <v>2222</v>
      </c>
      <c r="AM74" s="796" t="s">
        <v>2222</v>
      </c>
      <c r="AN74" s="796"/>
      <c r="AO74" s="796"/>
      <c r="AP74" s="796"/>
      <c r="AQ74" s="796"/>
      <c r="AR74" s="796"/>
      <c r="AS74" s="796"/>
      <c r="AT74" s="796"/>
      <c r="AU74" s="796"/>
    </row>
    <row r="75" spans="1:47" ht="13.5">
      <c r="A75" s="796" t="s">
        <v>1115</v>
      </c>
      <c r="B75" s="796" t="s">
        <v>2225</v>
      </c>
      <c r="C75" s="796" t="s">
        <v>2225</v>
      </c>
      <c r="D75" s="796" t="s">
        <v>1116</v>
      </c>
      <c r="E75" s="796" t="s">
        <v>2427</v>
      </c>
      <c r="F75" s="796" t="s">
        <v>2226</v>
      </c>
      <c r="G75" s="796"/>
      <c r="H75" s="796"/>
      <c r="I75" s="796"/>
      <c r="J75" s="796" t="s">
        <v>1117</v>
      </c>
      <c r="K75" s="796" t="s">
        <v>2222</v>
      </c>
      <c r="L75" s="796" t="s">
        <v>2222</v>
      </c>
      <c r="M75" s="796"/>
      <c r="N75" s="796"/>
      <c r="O75" s="796"/>
      <c r="P75" s="796"/>
      <c r="Q75" s="796"/>
      <c r="R75" s="796"/>
      <c r="S75" s="796" t="s">
        <v>1118</v>
      </c>
      <c r="T75" s="796" t="s">
        <v>2223</v>
      </c>
      <c r="U75" s="796" t="s">
        <v>2225</v>
      </c>
      <c r="V75" s="796"/>
      <c r="W75" s="796"/>
      <c r="X75" s="796"/>
      <c r="Y75" s="796" t="s">
        <v>1119</v>
      </c>
      <c r="Z75" s="796" t="s">
        <v>2222</v>
      </c>
      <c r="AA75" s="796" t="s">
        <v>2222</v>
      </c>
      <c r="AB75" s="796" t="s">
        <v>1120</v>
      </c>
      <c r="AC75" s="796" t="s">
        <v>2223</v>
      </c>
      <c r="AD75" s="796" t="s">
        <v>2223</v>
      </c>
      <c r="AE75" s="796"/>
      <c r="AF75" s="796"/>
      <c r="AG75" s="796"/>
      <c r="AH75" s="796"/>
      <c r="AI75" s="796"/>
      <c r="AJ75" s="796"/>
      <c r="AK75" s="796" t="s">
        <v>1121</v>
      </c>
      <c r="AL75" s="796" t="s">
        <v>2221</v>
      </c>
      <c r="AM75" s="796" t="s">
        <v>2221</v>
      </c>
      <c r="AN75" s="796"/>
      <c r="AO75" s="796"/>
      <c r="AP75" s="796"/>
      <c r="AQ75" s="796"/>
      <c r="AR75" s="796"/>
      <c r="AS75" s="796"/>
      <c r="AT75" s="796"/>
      <c r="AU75" s="796"/>
    </row>
    <row r="76" spans="1:47" ht="13.5">
      <c r="A76" s="796" t="s">
        <v>1122</v>
      </c>
      <c r="B76" s="796" t="s">
        <v>2222</v>
      </c>
      <c r="C76" s="796" t="s">
        <v>2222</v>
      </c>
      <c r="D76" s="796" t="s">
        <v>1123</v>
      </c>
      <c r="E76" s="796" t="s">
        <v>2427</v>
      </c>
      <c r="F76" s="796" t="s">
        <v>2226</v>
      </c>
      <c r="G76" s="796"/>
      <c r="H76" s="796"/>
      <c r="I76" s="796"/>
      <c r="J76" s="796" t="s">
        <v>1124</v>
      </c>
      <c r="K76" s="796" t="s">
        <v>2222</v>
      </c>
      <c r="L76" s="796" t="s">
        <v>2223</v>
      </c>
      <c r="M76" s="796"/>
      <c r="N76" s="796"/>
      <c r="O76" s="796"/>
      <c r="P76" s="796"/>
      <c r="Q76" s="796"/>
      <c r="R76" s="796"/>
      <c r="S76" s="796" t="s">
        <v>1125</v>
      </c>
      <c r="T76" s="796" t="s">
        <v>2222</v>
      </c>
      <c r="U76" s="796" t="s">
        <v>2223</v>
      </c>
      <c r="V76" s="796"/>
      <c r="W76" s="796"/>
      <c r="X76" s="796"/>
      <c r="Y76" s="796" t="s">
        <v>1126</v>
      </c>
      <c r="Z76" s="796" t="s">
        <v>2221</v>
      </c>
      <c r="AA76" s="796" t="s">
        <v>2221</v>
      </c>
      <c r="AB76" s="796" t="s">
        <v>1127</v>
      </c>
      <c r="AC76" s="796" t="s">
        <v>2222</v>
      </c>
      <c r="AD76" s="796" t="s">
        <v>2222</v>
      </c>
      <c r="AE76" s="796"/>
      <c r="AF76" s="796"/>
      <c r="AG76" s="796"/>
      <c r="AH76" s="796"/>
      <c r="AI76" s="796"/>
      <c r="AJ76" s="796"/>
      <c r="AK76" s="796" t="s">
        <v>1128</v>
      </c>
      <c r="AL76" s="796"/>
      <c r="AM76" s="796" t="s">
        <v>2222</v>
      </c>
      <c r="AN76" s="796"/>
      <c r="AO76" s="796"/>
      <c r="AP76" s="796"/>
      <c r="AQ76" s="796"/>
      <c r="AR76" s="796"/>
      <c r="AS76" s="796"/>
      <c r="AT76" s="796"/>
      <c r="AU76" s="796"/>
    </row>
    <row r="77" spans="1:47" ht="13.5">
      <c r="A77" s="796" t="s">
        <v>1129</v>
      </c>
      <c r="B77" s="796" t="s">
        <v>2223</v>
      </c>
      <c r="C77" s="796" t="s">
        <v>2223</v>
      </c>
      <c r="D77" s="796" t="s">
        <v>1130</v>
      </c>
      <c r="E77" s="796" t="s">
        <v>2427</v>
      </c>
      <c r="F77" s="796" t="s">
        <v>2225</v>
      </c>
      <c r="G77" s="796"/>
      <c r="H77" s="796"/>
      <c r="I77" s="796"/>
      <c r="J77" s="796" t="s">
        <v>1131</v>
      </c>
      <c r="K77" s="796" t="s">
        <v>2223</v>
      </c>
      <c r="L77" s="796" t="s">
        <v>2222</v>
      </c>
      <c r="M77" s="796"/>
      <c r="N77" s="796"/>
      <c r="O77" s="796"/>
      <c r="P77" s="796"/>
      <c r="Q77" s="796"/>
      <c r="R77" s="796"/>
      <c r="S77" s="796" t="s">
        <v>1132</v>
      </c>
      <c r="T77" s="796" t="s">
        <v>2221</v>
      </c>
      <c r="U77" s="796" t="s">
        <v>2221</v>
      </c>
      <c r="V77" s="796"/>
      <c r="W77" s="796"/>
      <c r="X77" s="796"/>
      <c r="Y77" s="796" t="s">
        <v>1133</v>
      </c>
      <c r="Z77" s="796" t="s">
        <v>2225</v>
      </c>
      <c r="AA77" s="796" t="s">
        <v>2224</v>
      </c>
      <c r="AB77" s="796" t="s">
        <v>1134</v>
      </c>
      <c r="AC77" s="796" t="s">
        <v>2223</v>
      </c>
      <c r="AD77" s="796" t="s">
        <v>2223</v>
      </c>
      <c r="AE77" s="796"/>
      <c r="AF77" s="796"/>
      <c r="AG77" s="796"/>
      <c r="AH77" s="796"/>
      <c r="AI77" s="796"/>
      <c r="AJ77" s="796"/>
      <c r="AK77" s="796" t="s">
        <v>1135</v>
      </c>
      <c r="AL77" s="796" t="s">
        <v>2222</v>
      </c>
      <c r="AM77" s="796" t="s">
        <v>2222</v>
      </c>
      <c r="AN77" s="796"/>
      <c r="AO77" s="796"/>
      <c r="AP77" s="796"/>
      <c r="AQ77" s="796"/>
      <c r="AR77" s="796"/>
      <c r="AS77" s="796"/>
      <c r="AT77" s="796"/>
      <c r="AU77" s="796"/>
    </row>
    <row r="78" spans="1:47" ht="13.5">
      <c r="A78" s="796" t="s">
        <v>1136</v>
      </c>
      <c r="B78" s="796" t="s">
        <v>2222</v>
      </c>
      <c r="C78" s="796" t="s">
        <v>2223</v>
      </c>
      <c r="D78" s="796" t="s">
        <v>1137</v>
      </c>
      <c r="E78" s="796" t="s">
        <v>2427</v>
      </c>
      <c r="F78" s="796" t="s">
        <v>2226</v>
      </c>
      <c r="G78" s="796"/>
      <c r="H78" s="796"/>
      <c r="I78" s="796"/>
      <c r="J78" s="796" t="s">
        <v>1138</v>
      </c>
      <c r="K78" s="796" t="s">
        <v>2223</v>
      </c>
      <c r="L78" s="796" t="s">
        <v>2224</v>
      </c>
      <c r="M78" s="796"/>
      <c r="N78" s="796"/>
      <c r="O78" s="796"/>
      <c r="P78" s="796"/>
      <c r="Q78" s="796"/>
      <c r="R78" s="796"/>
      <c r="S78" s="796" t="s">
        <v>1139</v>
      </c>
      <c r="T78" s="796" t="s">
        <v>2225</v>
      </c>
      <c r="U78" s="796" t="s">
        <v>2226</v>
      </c>
      <c r="V78" s="796"/>
      <c r="W78" s="796"/>
      <c r="X78" s="796"/>
      <c r="Y78" s="796" t="s">
        <v>1140</v>
      </c>
      <c r="Z78" s="796" t="s">
        <v>2221</v>
      </c>
      <c r="AA78" s="796" t="s">
        <v>2221</v>
      </c>
      <c r="AB78" s="796" t="s">
        <v>1141</v>
      </c>
      <c r="AC78" s="796" t="s">
        <v>2221</v>
      </c>
      <c r="AD78" s="796" t="s">
        <v>2222</v>
      </c>
      <c r="AE78" s="796"/>
      <c r="AF78" s="796"/>
      <c r="AG78" s="796"/>
      <c r="AH78" s="796"/>
      <c r="AI78" s="796"/>
      <c r="AJ78" s="796"/>
      <c r="AK78" s="796" t="s">
        <v>1142</v>
      </c>
      <c r="AL78" s="796" t="s">
        <v>2221</v>
      </c>
      <c r="AM78" s="796" t="s">
        <v>2222</v>
      </c>
      <c r="AN78" s="796"/>
      <c r="AO78" s="796"/>
      <c r="AP78" s="796"/>
      <c r="AQ78" s="796"/>
      <c r="AR78" s="796"/>
      <c r="AS78" s="796"/>
      <c r="AT78" s="796"/>
      <c r="AU78" s="796"/>
    </row>
    <row r="79" spans="1:47" ht="13.5">
      <c r="A79" s="796" t="s">
        <v>1143</v>
      </c>
      <c r="B79" s="796" t="s">
        <v>2225</v>
      </c>
      <c r="C79" s="796" t="s">
        <v>2225</v>
      </c>
      <c r="D79" s="796" t="s">
        <v>1144</v>
      </c>
      <c r="E79" s="796" t="s">
        <v>2222</v>
      </c>
      <c r="F79" s="796" t="s">
        <v>2223</v>
      </c>
      <c r="G79" s="796"/>
      <c r="H79" s="796"/>
      <c r="I79" s="796"/>
      <c r="J79" s="796" t="s">
        <v>1145</v>
      </c>
      <c r="K79" s="796" t="s">
        <v>2224</v>
      </c>
      <c r="L79" s="796"/>
      <c r="M79" s="796"/>
      <c r="N79" s="796"/>
      <c r="O79" s="796"/>
      <c r="P79" s="796"/>
      <c r="Q79" s="796"/>
      <c r="R79" s="796"/>
      <c r="S79" s="796" t="s">
        <v>1146</v>
      </c>
      <c r="T79" s="796" t="s">
        <v>2225</v>
      </c>
      <c r="U79" s="796" t="s">
        <v>2225</v>
      </c>
      <c r="V79" s="796"/>
      <c r="W79" s="796"/>
      <c r="X79" s="796"/>
      <c r="Y79" s="796" t="s">
        <v>1147</v>
      </c>
      <c r="Z79" s="796" t="s">
        <v>2223</v>
      </c>
      <c r="AA79" s="796" t="s">
        <v>2223</v>
      </c>
      <c r="AB79" s="796" t="s">
        <v>1148</v>
      </c>
      <c r="AC79" s="796" t="s">
        <v>2221</v>
      </c>
      <c r="AD79" s="796" t="s">
        <v>2222</v>
      </c>
      <c r="AE79" s="796"/>
      <c r="AF79" s="796"/>
      <c r="AG79" s="796"/>
      <c r="AH79" s="796"/>
      <c r="AI79" s="796"/>
      <c r="AJ79" s="796"/>
      <c r="AK79" s="796" t="s">
        <v>1149</v>
      </c>
      <c r="AL79" s="796" t="s">
        <v>2221</v>
      </c>
      <c r="AM79" s="796" t="s">
        <v>2221</v>
      </c>
      <c r="AN79" s="796"/>
      <c r="AO79" s="796"/>
      <c r="AP79" s="796"/>
      <c r="AQ79" s="796"/>
      <c r="AR79" s="796"/>
      <c r="AS79" s="796"/>
      <c r="AT79" s="796"/>
      <c r="AU79" s="796"/>
    </row>
    <row r="80" spans="1:47" ht="13.5">
      <c r="A80" s="796" t="s">
        <v>1150</v>
      </c>
      <c r="B80" s="796" t="s">
        <v>2222</v>
      </c>
      <c r="C80" s="796" t="s">
        <v>2222</v>
      </c>
      <c r="D80" s="796" t="s">
        <v>1151</v>
      </c>
      <c r="E80" s="796" t="s">
        <v>2427</v>
      </c>
      <c r="F80" s="796" t="s">
        <v>2226</v>
      </c>
      <c r="G80" s="796"/>
      <c r="H80" s="796"/>
      <c r="I80" s="796"/>
      <c r="J80" s="796" t="s">
        <v>1152</v>
      </c>
      <c r="K80" s="796" t="s">
        <v>2221</v>
      </c>
      <c r="L80" s="796" t="s">
        <v>2222</v>
      </c>
      <c r="M80" s="796"/>
      <c r="N80" s="796"/>
      <c r="O80" s="796"/>
      <c r="P80" s="796"/>
      <c r="Q80" s="796"/>
      <c r="R80" s="796"/>
      <c r="S80" s="796" t="s">
        <v>1153</v>
      </c>
      <c r="T80" s="796" t="s">
        <v>2222</v>
      </c>
      <c r="U80" s="796" t="s">
        <v>2223</v>
      </c>
      <c r="V80" s="796"/>
      <c r="W80" s="796"/>
      <c r="X80" s="796"/>
      <c r="Y80" s="796" t="s">
        <v>1154</v>
      </c>
      <c r="Z80" s="796" t="s">
        <v>2222</v>
      </c>
      <c r="AA80" s="796" t="s">
        <v>2222</v>
      </c>
      <c r="AB80" s="796" t="s">
        <v>1155</v>
      </c>
      <c r="AC80" s="796" t="s">
        <v>2224</v>
      </c>
      <c r="AD80" s="796" t="s">
        <v>2224</v>
      </c>
      <c r="AE80" s="796"/>
      <c r="AF80" s="796"/>
      <c r="AG80" s="796"/>
      <c r="AH80" s="796"/>
      <c r="AI80" s="796"/>
      <c r="AJ80" s="796"/>
      <c r="AK80" s="796" t="s">
        <v>1156</v>
      </c>
      <c r="AL80" s="796" t="s">
        <v>2222</v>
      </c>
      <c r="AM80" s="796" t="s">
        <v>2222</v>
      </c>
      <c r="AN80" s="796"/>
      <c r="AO80" s="796"/>
      <c r="AP80" s="796"/>
      <c r="AQ80" s="796"/>
      <c r="AR80" s="796"/>
      <c r="AS80" s="796"/>
      <c r="AT80" s="796"/>
      <c r="AU80" s="796"/>
    </row>
    <row r="81" spans="1:47" ht="13.5">
      <c r="A81" s="796" t="s">
        <v>1157</v>
      </c>
      <c r="B81" s="796" t="s">
        <v>2222</v>
      </c>
      <c r="C81" s="796" t="s">
        <v>2223</v>
      </c>
      <c r="D81" s="796" t="s">
        <v>1158</v>
      </c>
      <c r="E81" s="796" t="s">
        <v>2222</v>
      </c>
      <c r="F81" s="796" t="s">
        <v>2222</v>
      </c>
      <c r="G81" s="796"/>
      <c r="H81" s="796"/>
      <c r="I81" s="796"/>
      <c r="J81" s="796" t="s">
        <v>1159</v>
      </c>
      <c r="K81" s="796" t="s">
        <v>2221</v>
      </c>
      <c r="L81" s="796" t="s">
        <v>2221</v>
      </c>
      <c r="M81" s="796"/>
      <c r="N81" s="796"/>
      <c r="O81" s="796"/>
      <c r="P81" s="796"/>
      <c r="Q81" s="796"/>
      <c r="R81" s="796"/>
      <c r="S81" s="796" t="s">
        <v>1160</v>
      </c>
      <c r="T81" s="796" t="s">
        <v>2221</v>
      </c>
      <c r="U81" s="796" t="s">
        <v>2222</v>
      </c>
      <c r="V81" s="796"/>
      <c r="W81" s="796"/>
      <c r="X81" s="796"/>
      <c r="Y81" s="796" t="s">
        <v>1161</v>
      </c>
      <c r="Z81" s="796" t="s">
        <v>2222</v>
      </c>
      <c r="AA81" s="796" t="s">
        <v>2222</v>
      </c>
      <c r="AB81" s="796" t="s">
        <v>1162</v>
      </c>
      <c r="AC81" s="796" t="s">
        <v>2222</v>
      </c>
      <c r="AD81" s="796" t="s">
        <v>2223</v>
      </c>
      <c r="AE81" s="796"/>
      <c r="AF81" s="796"/>
      <c r="AG81" s="796"/>
      <c r="AH81" s="796"/>
      <c r="AI81" s="796"/>
      <c r="AJ81" s="796"/>
      <c r="AK81" s="796" t="s">
        <v>1163</v>
      </c>
      <c r="AL81" s="796" t="s">
        <v>2221</v>
      </c>
      <c r="AM81" s="796" t="s">
        <v>2221</v>
      </c>
      <c r="AN81" s="796"/>
      <c r="AO81" s="796"/>
      <c r="AP81" s="796"/>
      <c r="AQ81" s="796"/>
      <c r="AR81" s="796"/>
      <c r="AS81" s="796"/>
      <c r="AT81" s="796"/>
      <c r="AU81" s="796"/>
    </row>
    <row r="82" spans="1:47" ht="13.5">
      <c r="A82" s="796" t="s">
        <v>1164</v>
      </c>
      <c r="B82" s="796" t="s">
        <v>2226</v>
      </c>
      <c r="C82" s="796" t="s">
        <v>2225</v>
      </c>
      <c r="D82" s="796" t="s">
        <v>1165</v>
      </c>
      <c r="E82" s="796" t="s">
        <v>2221</v>
      </c>
      <c r="F82" s="796" t="s">
        <v>2221</v>
      </c>
      <c r="G82" s="796"/>
      <c r="H82" s="796"/>
      <c r="I82" s="796"/>
      <c r="J82" s="796" t="s">
        <v>1166</v>
      </c>
      <c r="K82" s="796" t="s">
        <v>2221</v>
      </c>
      <c r="L82" s="796" t="s">
        <v>2221</v>
      </c>
      <c r="M82" s="796"/>
      <c r="N82" s="796"/>
      <c r="O82" s="796"/>
      <c r="P82" s="796"/>
      <c r="Q82" s="796"/>
      <c r="R82" s="796"/>
      <c r="S82" s="796" t="s">
        <v>1167</v>
      </c>
      <c r="T82" s="796" t="s">
        <v>2225</v>
      </c>
      <c r="U82" s="796" t="s">
        <v>2225</v>
      </c>
      <c r="V82" s="796"/>
      <c r="W82" s="796"/>
      <c r="X82" s="796"/>
      <c r="Y82" s="796" t="s">
        <v>1168</v>
      </c>
      <c r="Z82" s="796" t="s">
        <v>2221</v>
      </c>
      <c r="AA82" s="796" t="s">
        <v>2221</v>
      </c>
      <c r="AB82" s="796" t="s">
        <v>1169</v>
      </c>
      <c r="AC82" s="796" t="s">
        <v>2224</v>
      </c>
      <c r="AD82" s="796" t="s">
        <v>2224</v>
      </c>
      <c r="AE82" s="796"/>
      <c r="AF82" s="796"/>
      <c r="AG82" s="796"/>
      <c r="AH82" s="796"/>
      <c r="AI82" s="796"/>
      <c r="AJ82" s="796"/>
      <c r="AK82" s="796"/>
      <c r="AL82" s="796"/>
      <c r="AM82" s="796"/>
      <c r="AN82" s="796"/>
      <c r="AO82" s="796"/>
      <c r="AP82" s="796"/>
      <c r="AQ82" s="796"/>
      <c r="AR82" s="796"/>
      <c r="AS82" s="796"/>
      <c r="AT82" s="796"/>
      <c r="AU82" s="796"/>
    </row>
    <row r="83" spans="1:47" ht="13.5">
      <c r="A83" s="796" t="s">
        <v>1170</v>
      </c>
      <c r="B83" s="796" t="s">
        <v>2223</v>
      </c>
      <c r="C83" s="796" t="s">
        <v>2223</v>
      </c>
      <c r="D83" s="796" t="s">
        <v>1171</v>
      </c>
      <c r="E83" s="796" t="s">
        <v>2427</v>
      </c>
      <c r="F83" s="796" t="s">
        <v>2226</v>
      </c>
      <c r="G83" s="796"/>
      <c r="H83" s="796"/>
      <c r="I83" s="796"/>
      <c r="J83" s="796" t="s">
        <v>1172</v>
      </c>
      <c r="K83" s="796" t="s">
        <v>2223</v>
      </c>
      <c r="L83" s="796" t="s">
        <v>2222</v>
      </c>
      <c r="M83" s="796"/>
      <c r="N83" s="796"/>
      <c r="O83" s="796"/>
      <c r="P83" s="796"/>
      <c r="Q83" s="796"/>
      <c r="R83" s="796"/>
      <c r="S83" s="796" t="s">
        <v>1173</v>
      </c>
      <c r="T83" s="796" t="s">
        <v>2221</v>
      </c>
      <c r="U83" s="796" t="s">
        <v>2221</v>
      </c>
      <c r="V83" s="796"/>
      <c r="W83" s="796"/>
      <c r="X83" s="796"/>
      <c r="Y83" s="796" t="s">
        <v>1174</v>
      </c>
      <c r="Z83" s="796" t="s">
        <v>2222</v>
      </c>
      <c r="AA83" s="796" t="s">
        <v>2221</v>
      </c>
      <c r="AB83" s="796" t="s">
        <v>1175</v>
      </c>
      <c r="AC83" s="796" t="s">
        <v>2221</v>
      </c>
      <c r="AD83" s="796" t="s">
        <v>2222</v>
      </c>
      <c r="AE83" s="796"/>
      <c r="AF83" s="796"/>
      <c r="AG83" s="796"/>
      <c r="AH83" s="796"/>
      <c r="AI83" s="796"/>
      <c r="AJ83" s="796"/>
      <c r="AK83" s="796"/>
      <c r="AL83" s="796"/>
      <c r="AM83" s="796"/>
      <c r="AN83" s="796"/>
      <c r="AO83" s="796"/>
      <c r="AP83" s="796"/>
      <c r="AQ83" s="796"/>
      <c r="AR83" s="796"/>
      <c r="AS83" s="796"/>
      <c r="AT83" s="796"/>
      <c r="AU83" s="796"/>
    </row>
    <row r="84" spans="1:47" ht="13.5">
      <c r="A84" s="796" t="s">
        <v>1176</v>
      </c>
      <c r="B84" s="796" t="s">
        <v>2222</v>
      </c>
      <c r="C84" s="796" t="s">
        <v>2222</v>
      </c>
      <c r="D84" s="796" t="s">
        <v>1177</v>
      </c>
      <c r="E84" s="796" t="s">
        <v>2427</v>
      </c>
      <c r="F84" s="796" t="s">
        <v>2226</v>
      </c>
      <c r="G84" s="796"/>
      <c r="H84" s="796"/>
      <c r="I84" s="796"/>
      <c r="J84" s="796" t="s">
        <v>1178</v>
      </c>
      <c r="K84" s="796" t="s">
        <v>2222</v>
      </c>
      <c r="L84" s="796" t="s">
        <v>2222</v>
      </c>
      <c r="M84" s="796"/>
      <c r="N84" s="796"/>
      <c r="O84" s="796"/>
      <c r="P84" s="796"/>
      <c r="Q84" s="796"/>
      <c r="R84" s="796"/>
      <c r="S84" s="796" t="s">
        <v>1179</v>
      </c>
      <c r="T84" s="796" t="s">
        <v>2221</v>
      </c>
      <c r="U84" s="796" t="s">
        <v>2221</v>
      </c>
      <c r="V84" s="796"/>
      <c r="W84" s="796"/>
      <c r="X84" s="796"/>
      <c r="Y84" s="796" t="s">
        <v>1180</v>
      </c>
      <c r="Z84" s="796" t="s">
        <v>2222</v>
      </c>
      <c r="AA84" s="796" t="s">
        <v>2222</v>
      </c>
      <c r="AB84" s="796" t="s">
        <v>1181</v>
      </c>
      <c r="AC84" s="796" t="s">
        <v>2223</v>
      </c>
      <c r="AD84" s="796" t="s">
        <v>2223</v>
      </c>
      <c r="AE84" s="796"/>
      <c r="AF84" s="796"/>
      <c r="AG84" s="796"/>
      <c r="AH84" s="796"/>
      <c r="AI84" s="796"/>
      <c r="AJ84" s="796"/>
      <c r="AK84" s="796"/>
      <c r="AL84" s="796"/>
      <c r="AM84" s="796"/>
      <c r="AN84" s="796"/>
      <c r="AO84" s="796"/>
      <c r="AP84" s="796"/>
      <c r="AQ84" s="796"/>
      <c r="AR84" s="796"/>
      <c r="AS84" s="796"/>
      <c r="AT84" s="796"/>
      <c r="AU84" s="796"/>
    </row>
    <row r="85" spans="1:47" ht="13.5">
      <c r="A85" s="796" t="s">
        <v>1182</v>
      </c>
      <c r="B85" s="796" t="s">
        <v>2222</v>
      </c>
      <c r="C85" s="796" t="s">
        <v>2222</v>
      </c>
      <c r="D85" s="796" t="s">
        <v>1183</v>
      </c>
      <c r="E85" s="796" t="s">
        <v>2221</v>
      </c>
      <c r="F85" s="796" t="s">
        <v>2221</v>
      </c>
      <c r="G85" s="796"/>
      <c r="H85" s="796"/>
      <c r="I85" s="796"/>
      <c r="J85" s="796"/>
      <c r="K85" s="796"/>
      <c r="L85" s="796"/>
      <c r="M85" s="796"/>
      <c r="N85" s="796"/>
      <c r="O85" s="796"/>
      <c r="P85" s="796"/>
      <c r="Q85" s="796"/>
      <c r="R85" s="796"/>
      <c r="S85" s="796" t="s">
        <v>1184</v>
      </c>
      <c r="T85" s="796" t="s">
        <v>2221</v>
      </c>
      <c r="U85" s="796" t="s">
        <v>2222</v>
      </c>
      <c r="V85" s="796"/>
      <c r="W85" s="796"/>
      <c r="X85" s="796"/>
      <c r="Y85" s="796" t="s">
        <v>1185</v>
      </c>
      <c r="Z85" s="796" t="s">
        <v>2224</v>
      </c>
      <c r="AA85" s="796" t="s">
        <v>2224</v>
      </c>
      <c r="AB85" s="796" t="s">
        <v>1186</v>
      </c>
      <c r="AC85" s="796" t="s">
        <v>2222</v>
      </c>
      <c r="AD85" s="796" t="s">
        <v>2222</v>
      </c>
      <c r="AE85" s="796"/>
      <c r="AF85" s="796"/>
      <c r="AG85" s="796"/>
      <c r="AH85" s="796"/>
      <c r="AI85" s="796"/>
      <c r="AJ85" s="796"/>
      <c r="AK85" s="796"/>
      <c r="AL85" s="796"/>
      <c r="AM85" s="796"/>
      <c r="AN85" s="796"/>
      <c r="AO85" s="796"/>
      <c r="AP85" s="796"/>
      <c r="AQ85" s="796"/>
      <c r="AR85" s="796"/>
      <c r="AS85" s="796"/>
      <c r="AT85" s="796"/>
      <c r="AU85" s="796"/>
    </row>
    <row r="86" spans="1:47" ht="13.5">
      <c r="A86" s="796" t="s">
        <v>1187</v>
      </c>
      <c r="B86" s="796" t="s">
        <v>2223</v>
      </c>
      <c r="C86" s="796" t="s">
        <v>2223</v>
      </c>
      <c r="D86" s="796" t="s">
        <v>1188</v>
      </c>
      <c r="E86" s="796" t="s">
        <v>2222</v>
      </c>
      <c r="F86" s="796" t="s">
        <v>2222</v>
      </c>
      <c r="G86" s="796"/>
      <c r="H86" s="796"/>
      <c r="I86" s="796"/>
      <c r="J86" s="796"/>
      <c r="K86" s="796"/>
      <c r="L86" s="796"/>
      <c r="M86" s="796"/>
      <c r="N86" s="796"/>
      <c r="O86" s="796"/>
      <c r="P86" s="796"/>
      <c r="Q86" s="796"/>
      <c r="R86" s="796"/>
      <c r="S86" s="796" t="s">
        <v>1189</v>
      </c>
      <c r="T86" s="796" t="s">
        <v>2221</v>
      </c>
      <c r="U86" s="796" t="s">
        <v>2222</v>
      </c>
      <c r="V86" s="796"/>
      <c r="W86" s="796"/>
      <c r="X86" s="796"/>
      <c r="Y86" s="796" t="s">
        <v>1190</v>
      </c>
      <c r="Z86" s="796" t="s">
        <v>2221</v>
      </c>
      <c r="AA86" s="796" t="s">
        <v>2221</v>
      </c>
      <c r="AB86" s="796" t="s">
        <v>1191</v>
      </c>
      <c r="AC86" s="796" t="s">
        <v>2224</v>
      </c>
      <c r="AD86" s="796" t="s">
        <v>2224</v>
      </c>
      <c r="AE86" s="796"/>
      <c r="AF86" s="796"/>
      <c r="AG86" s="796"/>
      <c r="AH86" s="796"/>
      <c r="AI86" s="796"/>
      <c r="AJ86" s="796"/>
      <c r="AK86" s="796"/>
      <c r="AL86" s="796"/>
      <c r="AM86" s="796"/>
      <c r="AN86" s="796"/>
      <c r="AO86" s="796"/>
      <c r="AP86" s="796"/>
      <c r="AQ86" s="796"/>
      <c r="AR86" s="796"/>
      <c r="AS86" s="796"/>
      <c r="AT86" s="796"/>
      <c r="AU86" s="796"/>
    </row>
    <row r="87" spans="1:47" ht="13.5">
      <c r="A87" s="796" t="s">
        <v>1192</v>
      </c>
      <c r="B87" s="796" t="s">
        <v>2223</v>
      </c>
      <c r="C87" s="796" t="s">
        <v>2223</v>
      </c>
      <c r="D87" s="796" t="s">
        <v>1193</v>
      </c>
      <c r="E87" s="796" t="s">
        <v>2221</v>
      </c>
      <c r="F87" s="796" t="s">
        <v>2221</v>
      </c>
      <c r="G87" s="796"/>
      <c r="H87" s="796"/>
      <c r="I87" s="796"/>
      <c r="J87" s="796"/>
      <c r="K87" s="796"/>
      <c r="L87" s="796"/>
      <c r="M87" s="796"/>
      <c r="N87" s="796"/>
      <c r="O87" s="796"/>
      <c r="P87" s="796"/>
      <c r="Q87" s="796"/>
      <c r="R87" s="796"/>
      <c r="S87" s="796" t="s">
        <v>1194</v>
      </c>
      <c r="T87" s="796" t="s">
        <v>2222</v>
      </c>
      <c r="U87" s="796" t="s">
        <v>2222</v>
      </c>
      <c r="V87" s="796"/>
      <c r="W87" s="796"/>
      <c r="X87" s="796"/>
      <c r="Y87" s="796" t="s">
        <v>1195</v>
      </c>
      <c r="Z87" s="796" t="s">
        <v>2221</v>
      </c>
      <c r="AA87" s="796" t="s">
        <v>2221</v>
      </c>
      <c r="AB87" s="796" t="s">
        <v>1196</v>
      </c>
      <c r="AC87" s="796" t="s">
        <v>2223</v>
      </c>
      <c r="AD87" s="796" t="s">
        <v>2223</v>
      </c>
      <c r="AE87" s="796"/>
      <c r="AF87" s="796"/>
      <c r="AG87" s="796"/>
      <c r="AH87" s="796"/>
      <c r="AI87" s="796"/>
      <c r="AJ87" s="796"/>
      <c r="AK87" s="796"/>
      <c r="AL87" s="796"/>
      <c r="AM87" s="796"/>
      <c r="AN87" s="796"/>
      <c r="AO87" s="796"/>
      <c r="AP87" s="796"/>
      <c r="AQ87" s="796"/>
      <c r="AR87" s="796"/>
      <c r="AS87" s="796"/>
      <c r="AT87" s="796"/>
      <c r="AU87" s="796"/>
    </row>
    <row r="88" spans="1:47" ht="13.5">
      <c r="A88" s="796" t="s">
        <v>1197</v>
      </c>
      <c r="B88" s="796" t="s">
        <v>2223</v>
      </c>
      <c r="C88" s="796" t="s">
        <v>2223</v>
      </c>
      <c r="D88" s="796" t="s">
        <v>1198</v>
      </c>
      <c r="E88" s="796" t="s">
        <v>2225</v>
      </c>
      <c r="F88" s="796" t="s">
        <v>2225</v>
      </c>
      <c r="G88" s="796"/>
      <c r="H88" s="796"/>
      <c r="I88" s="796"/>
      <c r="J88" s="796"/>
      <c r="K88" s="796"/>
      <c r="L88" s="796"/>
      <c r="M88" s="796"/>
      <c r="N88" s="796"/>
      <c r="O88" s="796"/>
      <c r="P88" s="796"/>
      <c r="Q88" s="796"/>
      <c r="R88" s="796"/>
      <c r="S88" s="796" t="s">
        <v>1199</v>
      </c>
      <c r="T88" s="796" t="s">
        <v>2223</v>
      </c>
      <c r="U88" s="796" t="s">
        <v>2223</v>
      </c>
      <c r="V88" s="796"/>
      <c r="W88" s="796"/>
      <c r="X88" s="796"/>
      <c r="Y88" s="796" t="s">
        <v>1200</v>
      </c>
      <c r="Z88" s="796" t="s">
        <v>2223</v>
      </c>
      <c r="AA88" s="796" t="s">
        <v>2223</v>
      </c>
      <c r="AB88" s="796" t="s">
        <v>1201</v>
      </c>
      <c r="AC88" s="796" t="s">
        <v>2221</v>
      </c>
      <c r="AD88" s="796" t="s">
        <v>2221</v>
      </c>
      <c r="AE88" s="796"/>
      <c r="AF88" s="796"/>
      <c r="AG88" s="796"/>
      <c r="AH88" s="796"/>
      <c r="AI88" s="796"/>
      <c r="AJ88" s="796"/>
      <c r="AK88" s="796"/>
      <c r="AL88" s="796"/>
      <c r="AM88" s="796"/>
      <c r="AN88" s="796"/>
      <c r="AO88" s="796"/>
      <c r="AP88" s="796"/>
      <c r="AQ88" s="796"/>
      <c r="AR88" s="796"/>
      <c r="AS88" s="796"/>
      <c r="AT88" s="796"/>
      <c r="AU88" s="796"/>
    </row>
    <row r="89" spans="1:47" ht="13.5">
      <c r="A89" s="796" t="s">
        <v>1202</v>
      </c>
      <c r="B89" s="796" t="s">
        <v>2225</v>
      </c>
      <c r="C89" s="796" t="s">
        <v>2224</v>
      </c>
      <c r="D89" s="796" t="s">
        <v>1203</v>
      </c>
      <c r="E89" s="796" t="s">
        <v>2223</v>
      </c>
      <c r="F89" s="796" t="s">
        <v>2223</v>
      </c>
      <c r="G89" s="796"/>
      <c r="H89" s="796"/>
      <c r="I89" s="796"/>
      <c r="J89" s="796"/>
      <c r="K89" s="796"/>
      <c r="L89" s="796"/>
      <c r="M89" s="796"/>
      <c r="N89" s="796"/>
      <c r="O89" s="796"/>
      <c r="P89" s="796"/>
      <c r="Q89" s="796"/>
      <c r="R89" s="796"/>
      <c r="S89" s="796" t="s">
        <v>1204</v>
      </c>
      <c r="T89" s="796" t="s">
        <v>2224</v>
      </c>
      <c r="U89" s="796" t="s">
        <v>2225</v>
      </c>
      <c r="V89" s="796"/>
      <c r="W89" s="796"/>
      <c r="X89" s="796"/>
      <c r="Y89" s="796" t="s">
        <v>1205</v>
      </c>
      <c r="Z89" s="796" t="s">
        <v>2221</v>
      </c>
      <c r="AA89" s="796" t="s">
        <v>2221</v>
      </c>
      <c r="AB89" s="796" t="s">
        <v>1206</v>
      </c>
      <c r="AC89" s="796" t="s">
        <v>2221</v>
      </c>
      <c r="AD89" s="796" t="s">
        <v>2221</v>
      </c>
      <c r="AE89" s="796"/>
      <c r="AF89" s="796"/>
      <c r="AG89" s="796"/>
      <c r="AH89" s="796"/>
      <c r="AI89" s="796"/>
      <c r="AJ89" s="796"/>
      <c r="AK89" s="796"/>
      <c r="AL89" s="796"/>
      <c r="AM89" s="796"/>
      <c r="AN89" s="796"/>
      <c r="AO89" s="796"/>
      <c r="AP89" s="796"/>
      <c r="AQ89" s="796"/>
      <c r="AR89" s="796"/>
      <c r="AS89" s="796"/>
      <c r="AT89" s="796"/>
      <c r="AU89" s="796"/>
    </row>
    <row r="90" spans="1:47" ht="13.5">
      <c r="A90" s="796" t="s">
        <v>1207</v>
      </c>
      <c r="B90" s="796" t="s">
        <v>2226</v>
      </c>
      <c r="C90" s="796" t="s">
        <v>2225</v>
      </c>
      <c r="D90" s="796" t="s">
        <v>1208</v>
      </c>
      <c r="E90" s="796" t="s">
        <v>2224</v>
      </c>
      <c r="F90" s="796" t="s">
        <v>2223</v>
      </c>
      <c r="G90" s="796"/>
      <c r="H90" s="796"/>
      <c r="I90" s="796"/>
      <c r="J90" s="796"/>
      <c r="K90" s="796"/>
      <c r="L90" s="796"/>
      <c r="M90" s="796"/>
      <c r="N90" s="796"/>
      <c r="O90" s="796"/>
      <c r="P90" s="796"/>
      <c r="Q90" s="796"/>
      <c r="R90" s="796"/>
      <c r="S90" s="796" t="s">
        <v>1209</v>
      </c>
      <c r="T90" s="796" t="s">
        <v>2223</v>
      </c>
      <c r="U90" s="796" t="s">
        <v>2223</v>
      </c>
      <c r="V90" s="796"/>
      <c r="W90" s="796"/>
      <c r="X90" s="796"/>
      <c r="Y90" s="796" t="s">
        <v>1210</v>
      </c>
      <c r="Z90" s="796" t="s">
        <v>2221</v>
      </c>
      <c r="AA90" s="796" t="s">
        <v>2221</v>
      </c>
      <c r="AB90" s="796" t="s">
        <v>1211</v>
      </c>
      <c r="AC90" s="796" t="s">
        <v>2225</v>
      </c>
      <c r="AD90" s="796" t="s">
        <v>2224</v>
      </c>
      <c r="AE90" s="796"/>
      <c r="AF90" s="796"/>
      <c r="AG90" s="796"/>
      <c r="AH90" s="796"/>
      <c r="AI90" s="796"/>
      <c r="AJ90" s="796"/>
      <c r="AK90" s="796"/>
      <c r="AL90" s="796"/>
      <c r="AM90" s="796"/>
      <c r="AN90" s="796"/>
      <c r="AO90" s="796"/>
      <c r="AP90" s="796"/>
      <c r="AQ90" s="796"/>
      <c r="AR90" s="796"/>
      <c r="AS90" s="796"/>
      <c r="AT90" s="796"/>
      <c r="AU90" s="796"/>
    </row>
    <row r="91" spans="1:47" ht="13.5">
      <c r="A91" s="796" t="s">
        <v>1212</v>
      </c>
      <c r="B91" s="796" t="s">
        <v>2221</v>
      </c>
      <c r="C91" s="796" t="s">
        <v>2221</v>
      </c>
      <c r="D91" s="796" t="s">
        <v>1213</v>
      </c>
      <c r="E91" s="796" t="s">
        <v>2221</v>
      </c>
      <c r="F91" s="796" t="s">
        <v>2221</v>
      </c>
      <c r="G91" s="796"/>
      <c r="H91" s="796"/>
      <c r="I91" s="796"/>
      <c r="J91" s="796"/>
      <c r="K91" s="796"/>
      <c r="L91" s="796"/>
      <c r="M91" s="796"/>
      <c r="N91" s="796"/>
      <c r="O91" s="796"/>
      <c r="P91" s="796"/>
      <c r="Q91" s="796"/>
      <c r="R91" s="796"/>
      <c r="S91" s="796" t="s">
        <v>1214</v>
      </c>
      <c r="T91" s="796" t="s">
        <v>2222</v>
      </c>
      <c r="U91" s="796" t="s">
        <v>2222</v>
      </c>
      <c r="V91" s="796"/>
      <c r="W91" s="796"/>
      <c r="X91" s="796"/>
      <c r="Y91" s="796" t="s">
        <v>1215</v>
      </c>
      <c r="Z91" s="796" t="s">
        <v>2221</v>
      </c>
      <c r="AA91" s="796" t="s">
        <v>2222</v>
      </c>
      <c r="AB91" s="796" t="s">
        <v>1216</v>
      </c>
      <c r="AC91" s="796" t="s">
        <v>2222</v>
      </c>
      <c r="AD91" s="796" t="s">
        <v>2222</v>
      </c>
      <c r="AE91" s="796"/>
      <c r="AF91" s="796"/>
      <c r="AG91" s="796"/>
      <c r="AH91" s="796"/>
      <c r="AI91" s="796"/>
      <c r="AJ91" s="796"/>
      <c r="AK91" s="796"/>
      <c r="AL91" s="796"/>
      <c r="AM91" s="796"/>
      <c r="AN91" s="796"/>
      <c r="AO91" s="796"/>
      <c r="AP91" s="796"/>
      <c r="AQ91" s="796"/>
      <c r="AR91" s="796"/>
      <c r="AS91" s="796"/>
      <c r="AT91" s="796"/>
      <c r="AU91" s="796"/>
    </row>
    <row r="92" spans="1:47" ht="13.5">
      <c r="A92" s="796" t="s">
        <v>1217</v>
      </c>
      <c r="B92" s="796" t="s">
        <v>2223</v>
      </c>
      <c r="C92" s="796" t="s">
        <v>2224</v>
      </c>
      <c r="D92" s="796" t="s">
        <v>1218</v>
      </c>
      <c r="E92" s="796" t="s">
        <v>2222</v>
      </c>
      <c r="F92" s="796" t="s">
        <v>2222</v>
      </c>
      <c r="G92" s="796"/>
      <c r="H92" s="796"/>
      <c r="I92" s="796"/>
      <c r="J92" s="796"/>
      <c r="K92" s="796"/>
      <c r="L92" s="796"/>
      <c r="M92" s="796"/>
      <c r="N92" s="796"/>
      <c r="O92" s="796"/>
      <c r="P92" s="796"/>
      <c r="Q92" s="796"/>
      <c r="R92" s="796"/>
      <c r="S92" s="796" t="s">
        <v>1219</v>
      </c>
      <c r="T92" s="796" t="s">
        <v>2226</v>
      </c>
      <c r="U92" s="796" t="s">
        <v>2226</v>
      </c>
      <c r="V92" s="796"/>
      <c r="W92" s="796"/>
      <c r="X92" s="796"/>
      <c r="Y92" s="796" t="s">
        <v>1220</v>
      </c>
      <c r="Z92" s="796" t="s">
        <v>2221</v>
      </c>
      <c r="AA92" s="796" t="s">
        <v>2221</v>
      </c>
      <c r="AB92" s="796" t="s">
        <v>1221</v>
      </c>
      <c r="AC92" s="796" t="s">
        <v>2222</v>
      </c>
      <c r="AD92" s="796" t="s">
        <v>2222</v>
      </c>
      <c r="AE92" s="796"/>
      <c r="AF92" s="796"/>
      <c r="AG92" s="796"/>
      <c r="AH92" s="796"/>
      <c r="AI92" s="796"/>
      <c r="AJ92" s="796"/>
      <c r="AK92" s="796"/>
      <c r="AL92" s="796"/>
      <c r="AM92" s="796"/>
      <c r="AN92" s="796"/>
      <c r="AO92" s="796"/>
      <c r="AP92" s="796"/>
      <c r="AQ92" s="796"/>
      <c r="AR92" s="796"/>
      <c r="AS92" s="796"/>
      <c r="AT92" s="796"/>
      <c r="AU92" s="796"/>
    </row>
    <row r="93" spans="1:47" ht="13.5">
      <c r="A93" s="796" t="s">
        <v>1222</v>
      </c>
      <c r="B93" s="796" t="s">
        <v>2223</v>
      </c>
      <c r="C93" s="796" t="s">
        <v>2224</v>
      </c>
      <c r="D93" s="796" t="s">
        <v>1223</v>
      </c>
      <c r="E93" s="796" t="s">
        <v>2222</v>
      </c>
      <c r="F93" s="796" t="s">
        <v>2221</v>
      </c>
      <c r="G93" s="796"/>
      <c r="H93" s="796"/>
      <c r="I93" s="796"/>
      <c r="J93" s="796"/>
      <c r="K93" s="796"/>
      <c r="L93" s="796"/>
      <c r="M93" s="796"/>
      <c r="N93" s="796"/>
      <c r="O93" s="796"/>
      <c r="P93" s="796"/>
      <c r="Q93" s="796"/>
      <c r="R93" s="796"/>
      <c r="S93" s="796" t="s">
        <v>1224</v>
      </c>
      <c r="T93" s="796" t="s">
        <v>2224</v>
      </c>
      <c r="U93" s="796" t="s">
        <v>2224</v>
      </c>
      <c r="V93" s="796"/>
      <c r="W93" s="796"/>
      <c r="X93" s="796"/>
      <c r="Y93" s="796" t="s">
        <v>1225</v>
      </c>
      <c r="Z93" s="796" t="s">
        <v>2221</v>
      </c>
      <c r="AA93" s="796" t="s">
        <v>2223</v>
      </c>
      <c r="AB93" s="796" t="s">
        <v>1226</v>
      </c>
      <c r="AC93" s="796" t="s">
        <v>2221</v>
      </c>
      <c r="AD93" s="796" t="s">
        <v>2221</v>
      </c>
      <c r="AE93" s="796"/>
      <c r="AF93" s="796"/>
      <c r="AG93" s="796"/>
      <c r="AH93" s="796"/>
      <c r="AI93" s="796"/>
      <c r="AJ93" s="796"/>
      <c r="AK93" s="796"/>
      <c r="AL93" s="796"/>
      <c r="AM93" s="796"/>
      <c r="AN93" s="796"/>
      <c r="AO93" s="796"/>
      <c r="AP93" s="796"/>
      <c r="AQ93" s="796"/>
      <c r="AR93" s="796"/>
      <c r="AS93" s="796"/>
      <c r="AT93" s="796"/>
      <c r="AU93" s="796"/>
    </row>
    <row r="94" spans="1:47" ht="13.5">
      <c r="A94" s="796" t="s">
        <v>1227</v>
      </c>
      <c r="B94" s="796" t="s">
        <v>2225</v>
      </c>
      <c r="C94" s="796" t="s">
        <v>2225</v>
      </c>
      <c r="D94" s="796" t="s">
        <v>1228</v>
      </c>
      <c r="E94" s="796" t="s">
        <v>2221</v>
      </c>
      <c r="F94" s="796" t="s">
        <v>2221</v>
      </c>
      <c r="G94" s="796"/>
      <c r="H94" s="796"/>
      <c r="I94" s="796"/>
      <c r="J94" s="796"/>
      <c r="K94" s="796"/>
      <c r="L94" s="796"/>
      <c r="M94" s="796"/>
      <c r="N94" s="796"/>
      <c r="O94" s="796"/>
      <c r="P94" s="796"/>
      <c r="Q94" s="796"/>
      <c r="R94" s="796"/>
      <c r="S94" s="796" t="s">
        <v>1229</v>
      </c>
      <c r="T94" s="796" t="s">
        <v>2222</v>
      </c>
      <c r="U94" s="796" t="s">
        <v>2222</v>
      </c>
      <c r="V94" s="796"/>
      <c r="W94" s="796"/>
      <c r="X94" s="796"/>
      <c r="Y94" s="796" t="s">
        <v>1230</v>
      </c>
      <c r="Z94" s="796" t="s">
        <v>2224</v>
      </c>
      <c r="AA94" s="796" t="s">
        <v>2224</v>
      </c>
      <c r="AB94" s="796" t="s">
        <v>1231</v>
      </c>
      <c r="AC94" s="796" t="s">
        <v>2222</v>
      </c>
      <c r="AD94" s="796" t="s">
        <v>2222</v>
      </c>
      <c r="AE94" s="796"/>
      <c r="AF94" s="796"/>
      <c r="AG94" s="796"/>
      <c r="AH94" s="796"/>
      <c r="AI94" s="796"/>
      <c r="AJ94" s="796"/>
      <c r="AK94" s="796"/>
      <c r="AL94" s="796"/>
      <c r="AM94" s="796"/>
      <c r="AN94" s="796"/>
      <c r="AO94" s="796"/>
      <c r="AP94" s="796"/>
      <c r="AQ94" s="796"/>
      <c r="AR94" s="796"/>
      <c r="AS94" s="796"/>
      <c r="AT94" s="796"/>
      <c r="AU94" s="796"/>
    </row>
    <row r="95" spans="1:47" ht="13.5">
      <c r="A95" s="796" t="s">
        <v>1232</v>
      </c>
      <c r="B95" s="796" t="s">
        <v>2223</v>
      </c>
      <c r="C95" s="796" t="s">
        <v>2223</v>
      </c>
      <c r="D95" s="796" t="s">
        <v>1233</v>
      </c>
      <c r="E95" s="796" t="s">
        <v>2427</v>
      </c>
      <c r="F95" s="796" t="s">
        <v>2226</v>
      </c>
      <c r="G95" s="796"/>
      <c r="H95" s="796"/>
      <c r="I95" s="796"/>
      <c r="J95" s="796"/>
      <c r="K95" s="796"/>
      <c r="L95" s="796"/>
      <c r="M95" s="796"/>
      <c r="N95" s="796"/>
      <c r="O95" s="796"/>
      <c r="P95" s="796"/>
      <c r="Q95" s="796"/>
      <c r="R95" s="796"/>
      <c r="S95" s="796" t="s">
        <v>1234</v>
      </c>
      <c r="T95" s="796" t="s">
        <v>2225</v>
      </c>
      <c r="U95" s="796" t="s">
        <v>2226</v>
      </c>
      <c r="V95" s="796"/>
      <c r="W95" s="796"/>
      <c r="X95" s="796"/>
      <c r="Y95" s="796" t="s">
        <v>1235</v>
      </c>
      <c r="Z95" s="796" t="s">
        <v>2222</v>
      </c>
      <c r="AA95" s="796" t="s">
        <v>2222</v>
      </c>
      <c r="AB95" s="796" t="s">
        <v>1236</v>
      </c>
      <c r="AC95" s="796" t="s">
        <v>2223</v>
      </c>
      <c r="AD95" s="796" t="s">
        <v>2223</v>
      </c>
      <c r="AE95" s="796"/>
      <c r="AF95" s="796"/>
      <c r="AG95" s="796"/>
      <c r="AH95" s="796"/>
      <c r="AI95" s="796"/>
      <c r="AJ95" s="796"/>
      <c r="AK95" s="796"/>
      <c r="AL95" s="796"/>
      <c r="AM95" s="796"/>
      <c r="AN95" s="796"/>
      <c r="AO95" s="796"/>
      <c r="AP95" s="796"/>
      <c r="AQ95" s="796"/>
      <c r="AR95" s="796"/>
      <c r="AS95" s="796"/>
      <c r="AT95" s="796"/>
      <c r="AU95" s="796"/>
    </row>
    <row r="96" spans="1:47" ht="13.5">
      <c r="A96" s="796" t="s">
        <v>1237</v>
      </c>
      <c r="B96" s="796" t="s">
        <v>2224</v>
      </c>
      <c r="C96" s="796" t="s">
        <v>2224</v>
      </c>
      <c r="D96" s="796" t="s">
        <v>1238</v>
      </c>
      <c r="E96" s="796" t="s">
        <v>2224</v>
      </c>
      <c r="F96" s="796" t="s">
        <v>2225</v>
      </c>
      <c r="G96" s="796"/>
      <c r="H96" s="796"/>
      <c r="I96" s="796"/>
      <c r="J96" s="796"/>
      <c r="K96" s="796"/>
      <c r="L96" s="796"/>
      <c r="M96" s="796"/>
      <c r="N96" s="796"/>
      <c r="O96" s="796"/>
      <c r="P96" s="796"/>
      <c r="Q96" s="796"/>
      <c r="R96" s="796"/>
      <c r="S96" s="796" t="s">
        <v>1239</v>
      </c>
      <c r="T96" s="796" t="s">
        <v>2221</v>
      </c>
      <c r="U96" s="796" t="s">
        <v>2222</v>
      </c>
      <c r="V96" s="796"/>
      <c r="W96" s="796"/>
      <c r="X96" s="796"/>
      <c r="Y96" s="796" t="s">
        <v>1240</v>
      </c>
      <c r="Z96" s="796" t="s">
        <v>2224</v>
      </c>
      <c r="AA96" s="796" t="s">
        <v>2224</v>
      </c>
      <c r="AB96" s="796" t="s">
        <v>1241</v>
      </c>
      <c r="AC96" s="796" t="s">
        <v>2222</v>
      </c>
      <c r="AD96" s="796" t="s">
        <v>2222</v>
      </c>
      <c r="AE96" s="796"/>
      <c r="AF96" s="796"/>
      <c r="AG96" s="796"/>
      <c r="AH96" s="796"/>
      <c r="AI96" s="796"/>
      <c r="AJ96" s="796"/>
      <c r="AK96" s="796"/>
      <c r="AL96" s="796"/>
      <c r="AM96" s="796"/>
      <c r="AN96" s="796"/>
      <c r="AO96" s="796"/>
      <c r="AP96" s="796"/>
      <c r="AQ96" s="796"/>
      <c r="AR96" s="796"/>
      <c r="AS96" s="796"/>
      <c r="AT96" s="796"/>
      <c r="AU96" s="796"/>
    </row>
    <row r="97" spans="1:47" ht="13.5">
      <c r="A97" s="796" t="s">
        <v>1242</v>
      </c>
      <c r="B97" s="796" t="s">
        <v>2224</v>
      </c>
      <c r="C97" s="796" t="s">
        <v>2224</v>
      </c>
      <c r="D97" s="796" t="s">
        <v>1243</v>
      </c>
      <c r="E97" s="796" t="s">
        <v>2222</v>
      </c>
      <c r="F97" s="796" t="s">
        <v>2222</v>
      </c>
      <c r="G97" s="796"/>
      <c r="H97" s="796"/>
      <c r="I97" s="796"/>
      <c r="J97" s="796"/>
      <c r="K97" s="796"/>
      <c r="L97" s="796"/>
      <c r="M97" s="796"/>
      <c r="N97" s="796"/>
      <c r="O97" s="796"/>
      <c r="P97" s="796"/>
      <c r="Q97" s="796"/>
      <c r="R97" s="796"/>
      <c r="S97" s="796" t="s">
        <v>1244</v>
      </c>
      <c r="T97" s="796" t="s">
        <v>2222</v>
      </c>
      <c r="U97" s="796" t="s">
        <v>2222</v>
      </c>
      <c r="V97" s="796"/>
      <c r="W97" s="796"/>
      <c r="X97" s="796"/>
      <c r="Y97" s="796" t="s">
        <v>1245</v>
      </c>
      <c r="Z97" s="796" t="s">
        <v>2221</v>
      </c>
      <c r="AA97" s="796" t="s">
        <v>2221</v>
      </c>
      <c r="AB97" s="796" t="s">
        <v>1246</v>
      </c>
      <c r="AC97" s="796" t="s">
        <v>2222</v>
      </c>
      <c r="AD97" s="796" t="s">
        <v>2222</v>
      </c>
      <c r="AE97" s="796"/>
      <c r="AF97" s="796"/>
      <c r="AG97" s="796"/>
      <c r="AH97" s="796"/>
      <c r="AI97" s="796"/>
      <c r="AJ97" s="796"/>
      <c r="AK97" s="796"/>
      <c r="AL97" s="796"/>
      <c r="AM97" s="796"/>
      <c r="AN97" s="796"/>
      <c r="AO97" s="796"/>
      <c r="AP97" s="796"/>
      <c r="AQ97" s="796"/>
      <c r="AR97" s="796"/>
      <c r="AS97" s="796"/>
      <c r="AT97" s="796"/>
      <c r="AU97" s="796"/>
    </row>
    <row r="98" spans="1:47" ht="13.5">
      <c r="A98" s="796" t="s">
        <v>1247</v>
      </c>
      <c r="B98" s="796" t="s">
        <v>2222</v>
      </c>
      <c r="C98" s="796" t="s">
        <v>2223</v>
      </c>
      <c r="D98" s="796" t="s">
        <v>1248</v>
      </c>
      <c r="E98" s="796" t="s">
        <v>2222</v>
      </c>
      <c r="F98" s="796" t="s">
        <v>2222</v>
      </c>
      <c r="G98" s="796"/>
      <c r="H98" s="796"/>
      <c r="I98" s="796"/>
      <c r="J98" s="796"/>
      <c r="K98" s="796"/>
      <c r="L98" s="796"/>
      <c r="M98" s="796"/>
      <c r="N98" s="796"/>
      <c r="O98" s="796"/>
      <c r="P98" s="796"/>
      <c r="Q98" s="796"/>
      <c r="R98" s="796"/>
      <c r="S98" s="796" t="s">
        <v>1249</v>
      </c>
      <c r="T98" s="796" t="s">
        <v>2224</v>
      </c>
      <c r="U98" s="796" t="s">
        <v>2224</v>
      </c>
      <c r="V98" s="796"/>
      <c r="W98" s="796"/>
      <c r="X98" s="796"/>
      <c r="Y98" s="796" t="s">
        <v>1250</v>
      </c>
      <c r="Z98" s="796" t="s">
        <v>2222</v>
      </c>
      <c r="AA98" s="796" t="s">
        <v>2222</v>
      </c>
      <c r="AB98" s="796" t="s">
        <v>1251</v>
      </c>
      <c r="AC98" s="796" t="s">
        <v>2222</v>
      </c>
      <c r="AD98" s="796" t="s">
        <v>2222</v>
      </c>
      <c r="AE98" s="796"/>
      <c r="AF98" s="796"/>
      <c r="AG98" s="796"/>
      <c r="AH98" s="796"/>
      <c r="AI98" s="796"/>
      <c r="AJ98" s="796"/>
      <c r="AK98" s="796"/>
      <c r="AL98" s="796"/>
      <c r="AM98" s="796"/>
      <c r="AN98" s="796"/>
      <c r="AO98" s="796"/>
      <c r="AP98" s="796"/>
      <c r="AQ98" s="796"/>
      <c r="AR98" s="796"/>
      <c r="AS98" s="796"/>
      <c r="AT98" s="796"/>
      <c r="AU98" s="796"/>
    </row>
    <row r="99" spans="1:47" ht="13.5">
      <c r="A99" s="796" t="s">
        <v>1252</v>
      </c>
      <c r="B99" s="796" t="s">
        <v>2221</v>
      </c>
      <c r="C99" s="796" t="s">
        <v>2222</v>
      </c>
      <c r="D99" s="796" t="s">
        <v>1253</v>
      </c>
      <c r="E99" s="796" t="s">
        <v>2223</v>
      </c>
      <c r="F99" s="796" t="s">
        <v>2223</v>
      </c>
      <c r="G99" s="796"/>
      <c r="H99" s="796"/>
      <c r="I99" s="796"/>
      <c r="J99" s="796"/>
      <c r="K99" s="796"/>
      <c r="L99" s="796"/>
      <c r="M99" s="796"/>
      <c r="N99" s="796"/>
      <c r="O99" s="796"/>
      <c r="P99" s="796"/>
      <c r="Q99" s="796"/>
      <c r="R99" s="796"/>
      <c r="S99" s="796" t="s">
        <v>1254</v>
      </c>
      <c r="T99" s="796" t="s">
        <v>2221</v>
      </c>
      <c r="U99" s="796" t="s">
        <v>2221</v>
      </c>
      <c r="V99" s="796"/>
      <c r="W99" s="796"/>
      <c r="X99" s="796"/>
      <c r="Y99" s="796" t="s">
        <v>1255</v>
      </c>
      <c r="Z99" s="796" t="s">
        <v>2221</v>
      </c>
      <c r="AA99" s="796" t="s">
        <v>2221</v>
      </c>
      <c r="AB99" s="796" t="s">
        <v>1256</v>
      </c>
      <c r="AC99" s="796" t="s">
        <v>2223</v>
      </c>
      <c r="AD99" s="796" t="s">
        <v>2223</v>
      </c>
      <c r="AE99" s="796"/>
      <c r="AF99" s="796"/>
      <c r="AG99" s="796"/>
      <c r="AH99" s="796"/>
      <c r="AI99" s="796"/>
      <c r="AJ99" s="796"/>
      <c r="AK99" s="796"/>
      <c r="AL99" s="796"/>
      <c r="AM99" s="796"/>
      <c r="AN99" s="796"/>
      <c r="AO99" s="796"/>
      <c r="AP99" s="796"/>
      <c r="AQ99" s="796"/>
      <c r="AR99" s="796"/>
      <c r="AS99" s="796"/>
      <c r="AT99" s="796"/>
      <c r="AU99" s="796"/>
    </row>
    <row r="100" spans="1:47" ht="13.5">
      <c r="A100" s="796" t="s">
        <v>1257</v>
      </c>
      <c r="B100" s="796" t="s">
        <v>2225</v>
      </c>
      <c r="C100" s="796" t="s">
        <v>2225</v>
      </c>
      <c r="D100" s="796" t="s">
        <v>1258</v>
      </c>
      <c r="E100" s="796" t="s">
        <v>2224</v>
      </c>
      <c r="F100" s="796" t="s">
        <v>2223</v>
      </c>
      <c r="G100" s="796"/>
      <c r="H100" s="796"/>
      <c r="I100" s="796"/>
      <c r="J100" s="796"/>
      <c r="K100" s="796"/>
      <c r="L100" s="796"/>
      <c r="M100" s="796"/>
      <c r="N100" s="796"/>
      <c r="O100" s="796"/>
      <c r="P100" s="796"/>
      <c r="Q100" s="796"/>
      <c r="R100" s="796"/>
      <c r="S100" s="796" t="s">
        <v>1259</v>
      </c>
      <c r="T100" s="796" t="s">
        <v>2222</v>
      </c>
      <c r="U100" s="796" t="s">
        <v>2222</v>
      </c>
      <c r="V100" s="796"/>
      <c r="W100" s="796"/>
      <c r="X100" s="796"/>
      <c r="Y100" s="796" t="s">
        <v>1260</v>
      </c>
      <c r="Z100" s="796" t="s">
        <v>2221</v>
      </c>
      <c r="AA100" s="796" t="s">
        <v>2221</v>
      </c>
      <c r="AB100" s="796" t="s">
        <v>1261</v>
      </c>
      <c r="AC100" s="796" t="s">
        <v>2222</v>
      </c>
      <c r="AD100" s="796" t="s">
        <v>2222</v>
      </c>
      <c r="AE100" s="796"/>
      <c r="AF100" s="796"/>
      <c r="AG100" s="796"/>
      <c r="AH100" s="796"/>
      <c r="AI100" s="796"/>
      <c r="AJ100" s="796"/>
      <c r="AK100" s="796"/>
      <c r="AL100" s="796"/>
      <c r="AM100" s="796"/>
      <c r="AN100" s="796"/>
      <c r="AO100" s="796"/>
      <c r="AP100" s="796"/>
      <c r="AQ100" s="796"/>
      <c r="AR100" s="796"/>
      <c r="AS100" s="796"/>
      <c r="AT100" s="796"/>
      <c r="AU100" s="796"/>
    </row>
    <row r="101" spans="1:47" ht="13.5">
      <c r="A101" s="796" t="s">
        <v>1262</v>
      </c>
      <c r="B101" s="796" t="s">
        <v>2224</v>
      </c>
      <c r="C101" s="796" t="s">
        <v>2224</v>
      </c>
      <c r="D101" s="796" t="s">
        <v>1263</v>
      </c>
      <c r="E101" s="796" t="s">
        <v>2427</v>
      </c>
      <c r="F101" s="796" t="s">
        <v>2226</v>
      </c>
      <c r="G101" s="796"/>
      <c r="H101" s="796"/>
      <c r="I101" s="796"/>
      <c r="J101" s="796"/>
      <c r="K101" s="796"/>
      <c r="L101" s="796"/>
      <c r="M101" s="796"/>
      <c r="N101" s="796"/>
      <c r="O101" s="796"/>
      <c r="P101" s="796"/>
      <c r="Q101" s="796"/>
      <c r="R101" s="796"/>
      <c r="S101" s="796" t="s">
        <v>1264</v>
      </c>
      <c r="T101" s="796" t="s">
        <v>2223</v>
      </c>
      <c r="U101" s="796" t="s">
        <v>2224</v>
      </c>
      <c r="V101" s="796"/>
      <c r="W101" s="796"/>
      <c r="X101" s="796"/>
      <c r="Y101" s="796" t="s">
        <v>1265</v>
      </c>
      <c r="Z101" s="796" t="s">
        <v>2221</v>
      </c>
      <c r="AA101" s="796" t="s">
        <v>2221</v>
      </c>
      <c r="AB101" s="796" t="s">
        <v>1266</v>
      </c>
      <c r="AC101" s="796" t="s">
        <v>2222</v>
      </c>
      <c r="AD101" s="796" t="s">
        <v>2223</v>
      </c>
      <c r="AE101" s="796"/>
      <c r="AF101" s="796"/>
      <c r="AG101" s="796"/>
      <c r="AH101" s="796"/>
      <c r="AI101" s="796"/>
      <c r="AJ101" s="796"/>
      <c r="AK101" s="796"/>
      <c r="AL101" s="796"/>
      <c r="AM101" s="796"/>
      <c r="AN101" s="796"/>
      <c r="AO101" s="796"/>
      <c r="AP101" s="796"/>
      <c r="AQ101" s="796"/>
      <c r="AR101" s="796"/>
      <c r="AS101" s="796"/>
      <c r="AT101" s="796"/>
      <c r="AU101" s="796"/>
    </row>
    <row r="102" spans="1:47" ht="13.5">
      <c r="A102" s="796" t="s">
        <v>1267</v>
      </c>
      <c r="B102" s="796" t="s">
        <v>2226</v>
      </c>
      <c r="C102" s="796" t="s">
        <v>2226</v>
      </c>
      <c r="D102" s="796" t="s">
        <v>1268</v>
      </c>
      <c r="E102" s="796" t="s">
        <v>2427</v>
      </c>
      <c r="F102" s="796" t="s">
        <v>2226</v>
      </c>
      <c r="G102" s="796"/>
      <c r="H102" s="796"/>
      <c r="I102" s="796"/>
      <c r="J102" s="796"/>
      <c r="K102" s="796"/>
      <c r="L102" s="796"/>
      <c r="M102" s="796"/>
      <c r="N102" s="796"/>
      <c r="O102" s="796"/>
      <c r="P102" s="796"/>
      <c r="Q102" s="796"/>
      <c r="R102" s="796"/>
      <c r="S102" s="796" t="s">
        <v>1269</v>
      </c>
      <c r="T102" s="796" t="s">
        <v>2221</v>
      </c>
      <c r="U102" s="796" t="s">
        <v>2221</v>
      </c>
      <c r="V102" s="796"/>
      <c r="W102" s="796"/>
      <c r="X102" s="796"/>
      <c r="Y102" s="796" t="s">
        <v>1270</v>
      </c>
      <c r="Z102" s="796" t="s">
        <v>2221</v>
      </c>
      <c r="AA102" s="796" t="s">
        <v>2221</v>
      </c>
      <c r="AB102" s="796" t="s">
        <v>1271</v>
      </c>
      <c r="AC102" s="796" t="s">
        <v>2223</v>
      </c>
      <c r="AD102" s="796" t="s">
        <v>2223</v>
      </c>
      <c r="AE102" s="796"/>
      <c r="AF102" s="796"/>
      <c r="AG102" s="796"/>
      <c r="AH102" s="796"/>
      <c r="AI102" s="796"/>
      <c r="AJ102" s="796"/>
      <c r="AK102" s="796"/>
      <c r="AL102" s="796"/>
      <c r="AM102" s="796"/>
      <c r="AN102" s="796"/>
      <c r="AO102" s="796"/>
      <c r="AP102" s="796"/>
      <c r="AQ102" s="796"/>
      <c r="AR102" s="796"/>
      <c r="AS102" s="796"/>
      <c r="AT102" s="796"/>
      <c r="AU102" s="796"/>
    </row>
    <row r="103" spans="1:47" ht="13.5">
      <c r="A103" s="796" t="s">
        <v>1272</v>
      </c>
      <c r="B103" s="796" t="s">
        <v>2222</v>
      </c>
      <c r="C103" s="796" t="s">
        <v>2223</v>
      </c>
      <c r="D103" s="796" t="s">
        <v>1273</v>
      </c>
      <c r="E103" s="796" t="s">
        <v>2221</v>
      </c>
      <c r="F103" s="796" t="s">
        <v>2221</v>
      </c>
      <c r="G103" s="796"/>
      <c r="H103" s="796"/>
      <c r="I103" s="796"/>
      <c r="J103" s="796"/>
      <c r="K103" s="796"/>
      <c r="L103" s="796"/>
      <c r="M103" s="796"/>
      <c r="N103" s="796"/>
      <c r="O103" s="796"/>
      <c r="P103" s="796"/>
      <c r="Q103" s="796"/>
      <c r="R103" s="796"/>
      <c r="S103" s="796" t="s">
        <v>1274</v>
      </c>
      <c r="T103" s="796" t="s">
        <v>2224</v>
      </c>
      <c r="U103" s="796" t="s">
        <v>2224</v>
      </c>
      <c r="V103" s="796"/>
      <c r="W103" s="796"/>
      <c r="X103" s="796"/>
      <c r="Y103" s="796" t="s">
        <v>1275</v>
      </c>
      <c r="Z103" s="796" t="s">
        <v>2221</v>
      </c>
      <c r="AA103" s="796" t="s">
        <v>2221</v>
      </c>
      <c r="AB103" s="796" t="s">
        <v>1276</v>
      </c>
      <c r="AC103" s="796" t="s">
        <v>2223</v>
      </c>
      <c r="AD103" s="796" t="s">
        <v>2223</v>
      </c>
      <c r="AE103" s="796"/>
      <c r="AF103" s="796"/>
      <c r="AG103" s="796"/>
      <c r="AH103" s="796"/>
      <c r="AI103" s="796"/>
      <c r="AJ103" s="796"/>
      <c r="AK103" s="796"/>
      <c r="AL103" s="796"/>
      <c r="AM103" s="796"/>
      <c r="AN103" s="796"/>
      <c r="AO103" s="796"/>
      <c r="AP103" s="796"/>
      <c r="AQ103" s="796"/>
      <c r="AR103" s="796"/>
      <c r="AS103" s="796"/>
      <c r="AT103" s="796"/>
      <c r="AU103" s="796"/>
    </row>
    <row r="104" spans="1:47" ht="13.5">
      <c r="A104" s="796" t="s">
        <v>1277</v>
      </c>
      <c r="B104" s="796" t="s">
        <v>2223</v>
      </c>
      <c r="C104" s="796" t="s">
        <v>2223</v>
      </c>
      <c r="D104" s="796" t="s">
        <v>1278</v>
      </c>
      <c r="E104" s="796" t="s">
        <v>2223</v>
      </c>
      <c r="F104" s="796" t="s">
        <v>2222</v>
      </c>
      <c r="G104" s="796"/>
      <c r="H104" s="796"/>
      <c r="I104" s="796"/>
      <c r="J104" s="796"/>
      <c r="K104" s="796"/>
      <c r="L104" s="796"/>
      <c r="M104" s="796"/>
      <c r="N104" s="796"/>
      <c r="O104" s="796"/>
      <c r="P104" s="796"/>
      <c r="Q104" s="796"/>
      <c r="R104" s="796"/>
      <c r="S104" s="796" t="s">
        <v>1279</v>
      </c>
      <c r="T104" s="796" t="s">
        <v>2221</v>
      </c>
      <c r="U104" s="796" t="s">
        <v>2221</v>
      </c>
      <c r="V104" s="796"/>
      <c r="W104" s="796"/>
      <c r="X104" s="796"/>
      <c r="Y104" s="796" t="s">
        <v>1280</v>
      </c>
      <c r="Z104" s="796" t="s">
        <v>2221</v>
      </c>
      <c r="AA104" s="796" t="s">
        <v>2221</v>
      </c>
      <c r="AB104" s="796" t="s">
        <v>1281</v>
      </c>
      <c r="AC104" s="796" t="s">
        <v>2224</v>
      </c>
      <c r="AD104" s="796" t="s">
        <v>2224</v>
      </c>
      <c r="AE104" s="796"/>
      <c r="AF104" s="796"/>
      <c r="AG104" s="796"/>
      <c r="AH104" s="796"/>
      <c r="AI104" s="796"/>
      <c r="AJ104" s="796"/>
      <c r="AK104" s="796"/>
      <c r="AL104" s="796"/>
      <c r="AM104" s="796"/>
      <c r="AN104" s="796"/>
      <c r="AO104" s="796"/>
      <c r="AP104" s="796"/>
      <c r="AQ104" s="796"/>
      <c r="AR104" s="796"/>
      <c r="AS104" s="796"/>
      <c r="AT104" s="796"/>
      <c r="AU104" s="796"/>
    </row>
    <row r="105" spans="1:47" ht="13.5">
      <c r="A105" s="796" t="s">
        <v>1282</v>
      </c>
      <c r="B105" s="796" t="s">
        <v>2223</v>
      </c>
      <c r="C105" s="796" t="s">
        <v>2223</v>
      </c>
      <c r="D105" s="796" t="s">
        <v>1283</v>
      </c>
      <c r="E105" s="796" t="s">
        <v>2223</v>
      </c>
      <c r="F105" s="796" t="s">
        <v>2224</v>
      </c>
      <c r="G105" s="796"/>
      <c r="H105" s="796"/>
      <c r="I105" s="796"/>
      <c r="J105" s="796"/>
      <c r="K105" s="796"/>
      <c r="L105" s="796"/>
      <c r="M105" s="796"/>
      <c r="N105" s="796"/>
      <c r="O105" s="796"/>
      <c r="P105" s="796"/>
      <c r="Q105" s="796"/>
      <c r="R105" s="796"/>
      <c r="S105" s="796" t="s">
        <v>1284</v>
      </c>
      <c r="T105" s="796" t="s">
        <v>2221</v>
      </c>
      <c r="U105" s="796" t="s">
        <v>2221</v>
      </c>
      <c r="V105" s="796"/>
      <c r="W105" s="796"/>
      <c r="X105" s="796"/>
      <c r="Y105" s="796" t="s">
        <v>1285</v>
      </c>
      <c r="Z105" s="796" t="s">
        <v>2221</v>
      </c>
      <c r="AA105" s="796" t="s">
        <v>2221</v>
      </c>
      <c r="AB105" s="796" t="s">
        <v>1286</v>
      </c>
      <c r="AC105" s="796" t="s">
        <v>2222</v>
      </c>
      <c r="AD105" s="796" t="s">
        <v>2222</v>
      </c>
      <c r="AE105" s="796"/>
      <c r="AF105" s="796"/>
      <c r="AG105" s="796"/>
      <c r="AH105" s="796"/>
      <c r="AI105" s="796"/>
      <c r="AJ105" s="796"/>
      <c r="AK105" s="796"/>
      <c r="AL105" s="796"/>
      <c r="AM105" s="796"/>
      <c r="AN105" s="796"/>
      <c r="AO105" s="796"/>
      <c r="AP105" s="796"/>
      <c r="AQ105" s="796"/>
      <c r="AR105" s="796"/>
      <c r="AS105" s="796"/>
      <c r="AT105" s="796"/>
      <c r="AU105" s="796"/>
    </row>
    <row r="106" spans="1:47" ht="13.5">
      <c r="A106" s="796" t="s">
        <v>1287</v>
      </c>
      <c r="B106" s="796" t="s">
        <v>2223</v>
      </c>
      <c r="C106" s="796" t="s">
        <v>2223</v>
      </c>
      <c r="D106" s="796" t="s">
        <v>1288</v>
      </c>
      <c r="E106" s="796" t="s">
        <v>2222</v>
      </c>
      <c r="F106" s="796" t="s">
        <v>2222</v>
      </c>
      <c r="G106" s="796"/>
      <c r="H106" s="796"/>
      <c r="I106" s="796"/>
      <c r="J106" s="796"/>
      <c r="K106" s="796"/>
      <c r="L106" s="796"/>
      <c r="M106" s="796"/>
      <c r="N106" s="796"/>
      <c r="O106" s="796"/>
      <c r="P106" s="796"/>
      <c r="Q106" s="796"/>
      <c r="R106" s="796"/>
      <c r="S106" s="796" t="s">
        <v>1289</v>
      </c>
      <c r="T106" s="796" t="s">
        <v>2221</v>
      </c>
      <c r="U106" s="796" t="s">
        <v>2222</v>
      </c>
      <c r="V106" s="796"/>
      <c r="W106" s="796"/>
      <c r="X106" s="796"/>
      <c r="Y106" s="796" t="s">
        <v>1290</v>
      </c>
      <c r="Z106" s="796" t="s">
        <v>2221</v>
      </c>
      <c r="AA106" s="796" t="s">
        <v>2221</v>
      </c>
      <c r="AB106" s="796" t="s">
        <v>1291</v>
      </c>
      <c r="AC106" s="796" t="s">
        <v>2222</v>
      </c>
      <c r="AD106" s="796" t="s">
        <v>2222</v>
      </c>
      <c r="AE106" s="796"/>
      <c r="AF106" s="796"/>
      <c r="AG106" s="796"/>
      <c r="AH106" s="796"/>
      <c r="AI106" s="796"/>
      <c r="AJ106" s="796"/>
      <c r="AK106" s="796"/>
      <c r="AL106" s="796"/>
      <c r="AM106" s="796"/>
      <c r="AN106" s="796"/>
      <c r="AO106" s="796"/>
      <c r="AP106" s="796"/>
      <c r="AQ106" s="796"/>
      <c r="AR106" s="796"/>
      <c r="AS106" s="796"/>
      <c r="AT106" s="796"/>
      <c r="AU106" s="796"/>
    </row>
    <row r="107" spans="1:47" ht="13.5">
      <c r="A107" s="796" t="s">
        <v>1292</v>
      </c>
      <c r="B107" s="796" t="s">
        <v>2224</v>
      </c>
      <c r="C107" s="796" t="s">
        <v>2224</v>
      </c>
      <c r="D107" s="796" t="s">
        <v>1293</v>
      </c>
      <c r="E107" s="796" t="s">
        <v>2224</v>
      </c>
      <c r="F107" s="796" t="s">
        <v>2223</v>
      </c>
      <c r="G107" s="796"/>
      <c r="H107" s="796"/>
      <c r="I107" s="796"/>
      <c r="J107" s="796"/>
      <c r="K107" s="796"/>
      <c r="L107" s="796"/>
      <c r="M107" s="796"/>
      <c r="N107" s="796"/>
      <c r="O107" s="796"/>
      <c r="P107" s="796"/>
      <c r="Q107" s="796"/>
      <c r="R107" s="796"/>
      <c r="S107" s="796" t="s">
        <v>1294</v>
      </c>
      <c r="T107" s="796" t="s">
        <v>2222</v>
      </c>
      <c r="U107" s="796" t="s">
        <v>2223</v>
      </c>
      <c r="V107" s="796"/>
      <c r="W107" s="796"/>
      <c r="X107" s="796"/>
      <c r="Y107" s="796" t="s">
        <v>1295</v>
      </c>
      <c r="Z107" s="796" t="s">
        <v>2221</v>
      </c>
      <c r="AA107" s="796" t="s">
        <v>2221</v>
      </c>
      <c r="AB107" s="796" t="s">
        <v>1296</v>
      </c>
      <c r="AC107" s="796" t="s">
        <v>2223</v>
      </c>
      <c r="AD107" s="796" t="s">
        <v>2223</v>
      </c>
      <c r="AE107" s="796"/>
      <c r="AF107" s="796"/>
      <c r="AG107" s="796"/>
      <c r="AH107" s="796"/>
      <c r="AI107" s="796"/>
      <c r="AJ107" s="796"/>
      <c r="AK107" s="796"/>
      <c r="AL107" s="796"/>
      <c r="AM107" s="796"/>
      <c r="AN107" s="796"/>
      <c r="AO107" s="796"/>
      <c r="AP107" s="796"/>
      <c r="AQ107" s="796"/>
      <c r="AR107" s="796"/>
      <c r="AS107" s="796"/>
      <c r="AT107" s="796"/>
      <c r="AU107" s="796"/>
    </row>
    <row r="108" spans="1:47" ht="13.5">
      <c r="A108" s="796" t="s">
        <v>1297</v>
      </c>
      <c r="B108" s="796" t="s">
        <v>2223</v>
      </c>
      <c r="C108" s="796" t="s">
        <v>2223</v>
      </c>
      <c r="D108" s="796" t="s">
        <v>1298</v>
      </c>
      <c r="E108" s="796" t="s">
        <v>2427</v>
      </c>
      <c r="F108" s="796" t="s">
        <v>2226</v>
      </c>
      <c r="G108" s="796"/>
      <c r="H108" s="796"/>
      <c r="I108" s="796"/>
      <c r="J108" s="796"/>
      <c r="K108" s="796"/>
      <c r="L108" s="796"/>
      <c r="M108" s="796"/>
      <c r="N108" s="796"/>
      <c r="O108" s="796"/>
      <c r="P108" s="796"/>
      <c r="Q108" s="796"/>
      <c r="R108" s="796"/>
      <c r="S108" s="796" t="s">
        <v>1299</v>
      </c>
      <c r="T108" s="796" t="s">
        <v>2224</v>
      </c>
      <c r="U108" s="796" t="s">
        <v>2226</v>
      </c>
      <c r="V108" s="796"/>
      <c r="W108" s="796"/>
      <c r="X108" s="796"/>
      <c r="Y108" s="796" t="s">
        <v>1300</v>
      </c>
      <c r="Z108" s="796" t="s">
        <v>2221</v>
      </c>
      <c r="AA108" s="796" t="s">
        <v>2221</v>
      </c>
      <c r="AB108" s="796" t="s">
        <v>1301</v>
      </c>
      <c r="AC108" s="796" t="s">
        <v>2224</v>
      </c>
      <c r="AD108" s="796" t="s">
        <v>2224</v>
      </c>
      <c r="AE108" s="796"/>
      <c r="AF108" s="796"/>
      <c r="AG108" s="796"/>
      <c r="AH108" s="796"/>
      <c r="AI108" s="796"/>
      <c r="AJ108" s="796"/>
      <c r="AK108" s="796"/>
      <c r="AL108" s="796"/>
      <c r="AM108" s="796"/>
      <c r="AN108" s="796"/>
      <c r="AO108" s="796"/>
      <c r="AP108" s="796"/>
      <c r="AQ108" s="796"/>
      <c r="AR108" s="796"/>
      <c r="AS108" s="796"/>
      <c r="AT108" s="796"/>
      <c r="AU108" s="796"/>
    </row>
    <row r="109" spans="1:47" ht="13.5">
      <c r="A109" s="796" t="s">
        <v>1302</v>
      </c>
      <c r="B109" s="796" t="s">
        <v>2222</v>
      </c>
      <c r="C109" s="796"/>
      <c r="D109" s="796" t="s">
        <v>1303</v>
      </c>
      <c r="E109" s="796" t="s">
        <v>2427</v>
      </c>
      <c r="F109" s="796" t="s">
        <v>2225</v>
      </c>
      <c r="G109" s="796"/>
      <c r="H109" s="796"/>
      <c r="I109" s="796"/>
      <c r="J109" s="796"/>
      <c r="K109" s="796"/>
      <c r="L109" s="796"/>
      <c r="M109" s="796"/>
      <c r="N109" s="796"/>
      <c r="O109" s="796"/>
      <c r="P109" s="796"/>
      <c r="Q109" s="796"/>
      <c r="R109" s="796"/>
      <c r="S109" s="796" t="s">
        <v>1304</v>
      </c>
      <c r="T109" s="796" t="s">
        <v>2221</v>
      </c>
      <c r="U109" s="796" t="s">
        <v>2221</v>
      </c>
      <c r="V109" s="796"/>
      <c r="W109" s="796"/>
      <c r="X109" s="796"/>
      <c r="Y109" s="796" t="s">
        <v>1305</v>
      </c>
      <c r="Z109" s="796" t="s">
        <v>2221</v>
      </c>
      <c r="AA109" s="796" t="s">
        <v>2221</v>
      </c>
      <c r="AB109" s="796" t="s">
        <v>1306</v>
      </c>
      <c r="AC109" s="796" t="s">
        <v>2223</v>
      </c>
      <c r="AD109" s="796" t="s">
        <v>2223</v>
      </c>
      <c r="AE109" s="796"/>
      <c r="AF109" s="796"/>
      <c r="AG109" s="796"/>
      <c r="AH109" s="796"/>
      <c r="AI109" s="796"/>
      <c r="AJ109" s="796"/>
      <c r="AK109" s="796"/>
      <c r="AL109" s="796"/>
      <c r="AM109" s="796"/>
      <c r="AN109" s="796"/>
      <c r="AO109" s="796"/>
      <c r="AP109" s="796"/>
      <c r="AQ109" s="796"/>
      <c r="AR109" s="796"/>
      <c r="AS109" s="796"/>
      <c r="AT109" s="796"/>
      <c r="AU109" s="796"/>
    </row>
    <row r="110" spans="1:47" ht="13.5">
      <c r="A110" s="796" t="s">
        <v>1307</v>
      </c>
      <c r="B110" s="796" t="s">
        <v>2225</v>
      </c>
      <c r="C110" s="796" t="s">
        <v>2224</v>
      </c>
      <c r="D110" s="796" t="s">
        <v>1308</v>
      </c>
      <c r="E110" s="796" t="s">
        <v>2224</v>
      </c>
      <c r="F110" s="796" t="s">
        <v>2224</v>
      </c>
      <c r="G110" s="796"/>
      <c r="H110" s="796"/>
      <c r="I110" s="796"/>
      <c r="J110" s="796"/>
      <c r="K110" s="796"/>
      <c r="L110" s="796"/>
      <c r="M110" s="796"/>
      <c r="N110" s="796"/>
      <c r="O110" s="796"/>
      <c r="P110" s="796"/>
      <c r="Q110" s="796"/>
      <c r="R110" s="796"/>
      <c r="S110" s="796" t="s">
        <v>1309</v>
      </c>
      <c r="T110" s="796" t="s">
        <v>2222</v>
      </c>
      <c r="U110" s="796" t="s">
        <v>2222</v>
      </c>
      <c r="V110" s="796"/>
      <c r="W110" s="796"/>
      <c r="X110" s="796"/>
      <c r="Y110" s="796" t="s">
        <v>1310</v>
      </c>
      <c r="Z110" s="796" t="s">
        <v>2221</v>
      </c>
      <c r="AA110" s="796" t="s">
        <v>2221</v>
      </c>
      <c r="AB110" s="796" t="s">
        <v>1311</v>
      </c>
      <c r="AC110" s="796" t="s">
        <v>2222</v>
      </c>
      <c r="AD110" s="796" t="s">
        <v>2222</v>
      </c>
      <c r="AE110" s="796"/>
      <c r="AF110" s="796"/>
      <c r="AG110" s="796"/>
      <c r="AH110" s="796"/>
      <c r="AI110" s="796"/>
      <c r="AJ110" s="796"/>
      <c r="AK110" s="796"/>
      <c r="AL110" s="796"/>
      <c r="AM110" s="796"/>
      <c r="AN110" s="796"/>
      <c r="AO110" s="796"/>
      <c r="AP110" s="796"/>
      <c r="AQ110" s="796"/>
      <c r="AR110" s="796"/>
      <c r="AS110" s="796"/>
      <c r="AT110" s="796"/>
      <c r="AU110" s="796"/>
    </row>
    <row r="111" spans="1:47" ht="13.5">
      <c r="A111" s="796" t="s">
        <v>1312</v>
      </c>
      <c r="B111" s="796" t="s">
        <v>2224</v>
      </c>
      <c r="C111" s="796" t="s">
        <v>2223</v>
      </c>
      <c r="D111" s="796" t="s">
        <v>1313</v>
      </c>
      <c r="E111" s="796" t="s">
        <v>2222</v>
      </c>
      <c r="F111" s="796" t="s">
        <v>2222</v>
      </c>
      <c r="G111" s="796"/>
      <c r="H111" s="796"/>
      <c r="I111" s="796"/>
      <c r="J111" s="796"/>
      <c r="K111" s="796"/>
      <c r="L111" s="796"/>
      <c r="M111" s="796"/>
      <c r="N111" s="796"/>
      <c r="O111" s="796"/>
      <c r="P111" s="796"/>
      <c r="Q111" s="796"/>
      <c r="R111" s="796"/>
      <c r="S111" s="796" t="s">
        <v>1314</v>
      </c>
      <c r="T111" s="796" t="s">
        <v>2224</v>
      </c>
      <c r="U111" s="796" t="s">
        <v>2223</v>
      </c>
      <c r="V111" s="796"/>
      <c r="W111" s="796"/>
      <c r="X111" s="796"/>
      <c r="Y111" s="796" t="s">
        <v>1315</v>
      </c>
      <c r="Z111" s="796" t="s">
        <v>2223</v>
      </c>
      <c r="AA111" s="796" t="s">
        <v>2224</v>
      </c>
      <c r="AB111" s="796" t="s">
        <v>1316</v>
      </c>
      <c r="AC111" s="796" t="s">
        <v>2223</v>
      </c>
      <c r="AD111" s="796" t="s">
        <v>2223</v>
      </c>
      <c r="AE111" s="796"/>
      <c r="AF111" s="796"/>
      <c r="AG111" s="796"/>
      <c r="AH111" s="796"/>
      <c r="AI111" s="796"/>
      <c r="AJ111" s="796"/>
      <c r="AK111" s="796"/>
      <c r="AL111" s="796"/>
      <c r="AM111" s="796"/>
      <c r="AN111" s="796"/>
      <c r="AO111" s="796"/>
      <c r="AP111" s="796"/>
      <c r="AQ111" s="796"/>
      <c r="AR111" s="796"/>
      <c r="AS111" s="796"/>
      <c r="AT111" s="796"/>
      <c r="AU111" s="796"/>
    </row>
    <row r="112" spans="1:47" ht="13.5">
      <c r="A112" s="796" t="s">
        <v>1317</v>
      </c>
      <c r="B112" s="796" t="s">
        <v>2225</v>
      </c>
      <c r="C112" s="796" t="s">
        <v>2225</v>
      </c>
      <c r="D112" s="796" t="s">
        <v>1318</v>
      </c>
      <c r="E112" s="796" t="s">
        <v>2224</v>
      </c>
      <c r="F112" s="796" t="s">
        <v>2225</v>
      </c>
      <c r="G112" s="796"/>
      <c r="H112" s="796"/>
      <c r="I112" s="796"/>
      <c r="J112" s="796"/>
      <c r="K112" s="796"/>
      <c r="L112" s="796"/>
      <c r="M112" s="796"/>
      <c r="N112" s="796"/>
      <c r="O112" s="796"/>
      <c r="P112" s="796"/>
      <c r="Q112" s="796"/>
      <c r="R112" s="796"/>
      <c r="S112" s="796" t="s">
        <v>1319</v>
      </c>
      <c r="T112" s="796" t="s">
        <v>2222</v>
      </c>
      <c r="U112" s="796" t="s">
        <v>2223</v>
      </c>
      <c r="V112" s="796"/>
      <c r="W112" s="796"/>
      <c r="X112" s="796"/>
      <c r="Y112" s="796" t="s">
        <v>1320</v>
      </c>
      <c r="Z112" s="796" t="s">
        <v>2221</v>
      </c>
      <c r="AA112" s="796" t="s">
        <v>2221</v>
      </c>
      <c r="AB112" s="796" t="s">
        <v>1321</v>
      </c>
      <c r="AC112" s="796" t="s">
        <v>2223</v>
      </c>
      <c r="AD112" s="796" t="s">
        <v>2223</v>
      </c>
      <c r="AE112" s="796"/>
      <c r="AF112" s="796"/>
      <c r="AG112" s="796"/>
      <c r="AH112" s="796"/>
      <c r="AI112" s="796"/>
      <c r="AJ112" s="796"/>
      <c r="AK112" s="796"/>
      <c r="AL112" s="796"/>
      <c r="AM112" s="796"/>
      <c r="AN112" s="796"/>
      <c r="AO112" s="796"/>
      <c r="AP112" s="796"/>
      <c r="AQ112" s="796"/>
      <c r="AR112" s="796"/>
      <c r="AS112" s="796"/>
      <c r="AT112" s="796"/>
      <c r="AU112" s="796"/>
    </row>
    <row r="113" spans="1:47" ht="13.5">
      <c r="A113" s="796" t="s">
        <v>1322</v>
      </c>
      <c r="B113" s="796" t="s">
        <v>2225</v>
      </c>
      <c r="C113" s="796"/>
      <c r="D113" s="796" t="s">
        <v>1323</v>
      </c>
      <c r="E113" s="796" t="s">
        <v>2224</v>
      </c>
      <c r="F113" s="796" t="s">
        <v>2224</v>
      </c>
      <c r="G113" s="796"/>
      <c r="H113" s="796"/>
      <c r="I113" s="796"/>
      <c r="J113" s="796"/>
      <c r="K113" s="796"/>
      <c r="L113" s="796"/>
      <c r="M113" s="796"/>
      <c r="N113" s="796"/>
      <c r="O113" s="796"/>
      <c r="P113" s="796"/>
      <c r="Q113" s="796"/>
      <c r="R113" s="796"/>
      <c r="S113" s="796" t="s">
        <v>1324</v>
      </c>
      <c r="T113" s="796" t="s">
        <v>2221</v>
      </c>
      <c r="U113" s="796" t="s">
        <v>2221</v>
      </c>
      <c r="V113" s="796"/>
      <c r="W113" s="796"/>
      <c r="X113" s="796"/>
      <c r="Y113" s="796" t="s">
        <v>1325</v>
      </c>
      <c r="Z113" s="796" t="s">
        <v>2221</v>
      </c>
      <c r="AA113" s="796" t="s">
        <v>2221</v>
      </c>
      <c r="AB113" s="796" t="s">
        <v>1326</v>
      </c>
      <c r="AC113" s="796" t="s">
        <v>2222</v>
      </c>
      <c r="AD113" s="796" t="s">
        <v>2222</v>
      </c>
      <c r="AE113" s="796"/>
      <c r="AF113" s="796"/>
      <c r="AG113" s="796"/>
      <c r="AH113" s="796"/>
      <c r="AI113" s="796"/>
      <c r="AJ113" s="796"/>
      <c r="AK113" s="796"/>
      <c r="AL113" s="796"/>
      <c r="AM113" s="796"/>
      <c r="AN113" s="796"/>
      <c r="AO113" s="796"/>
      <c r="AP113" s="796"/>
      <c r="AQ113" s="796"/>
      <c r="AR113" s="796"/>
      <c r="AS113" s="796"/>
      <c r="AT113" s="796"/>
      <c r="AU113" s="796"/>
    </row>
    <row r="114" spans="1:47" ht="13.5">
      <c r="A114" s="796" t="s">
        <v>1327</v>
      </c>
      <c r="B114" s="796" t="s">
        <v>2225</v>
      </c>
      <c r="C114" s="796" t="s">
        <v>2226</v>
      </c>
      <c r="D114" s="796" t="s">
        <v>1328</v>
      </c>
      <c r="E114" s="796" t="s">
        <v>2222</v>
      </c>
      <c r="F114" s="796" t="s">
        <v>2221</v>
      </c>
      <c r="G114" s="796"/>
      <c r="H114" s="796"/>
      <c r="I114" s="796"/>
      <c r="J114" s="796"/>
      <c r="K114" s="796"/>
      <c r="L114" s="796"/>
      <c r="M114" s="796"/>
      <c r="N114" s="796"/>
      <c r="O114" s="796"/>
      <c r="P114" s="796"/>
      <c r="Q114" s="796"/>
      <c r="R114" s="796"/>
      <c r="S114" s="796" t="s">
        <v>1329</v>
      </c>
      <c r="T114" s="796" t="s">
        <v>2221</v>
      </c>
      <c r="U114" s="796" t="s">
        <v>2221</v>
      </c>
      <c r="V114" s="796"/>
      <c r="W114" s="796"/>
      <c r="X114" s="796"/>
      <c r="Y114" s="796" t="s">
        <v>1330</v>
      </c>
      <c r="Z114" s="796" t="s">
        <v>2221</v>
      </c>
      <c r="AA114" s="796" t="s">
        <v>2221</v>
      </c>
      <c r="AB114" s="796" t="s">
        <v>1331</v>
      </c>
      <c r="AC114" s="796" t="s">
        <v>2222</v>
      </c>
      <c r="AD114" s="796" t="s">
        <v>2222</v>
      </c>
      <c r="AE114" s="796"/>
      <c r="AF114" s="796"/>
      <c r="AG114" s="796"/>
      <c r="AH114" s="796"/>
      <c r="AI114" s="796"/>
      <c r="AJ114" s="796"/>
      <c r="AK114" s="796"/>
      <c r="AL114" s="796"/>
      <c r="AM114" s="796"/>
      <c r="AN114" s="796"/>
      <c r="AO114" s="796"/>
      <c r="AP114" s="796"/>
      <c r="AQ114" s="796"/>
      <c r="AR114" s="796"/>
      <c r="AS114" s="796"/>
      <c r="AT114" s="796"/>
      <c r="AU114" s="796"/>
    </row>
    <row r="115" spans="1:47" ht="13.5">
      <c r="A115" s="796" t="s">
        <v>1332</v>
      </c>
      <c r="B115" s="796" t="s">
        <v>2224</v>
      </c>
      <c r="C115" s="796" t="s">
        <v>2224</v>
      </c>
      <c r="D115" s="796" t="s">
        <v>1333</v>
      </c>
      <c r="E115" s="796" t="s">
        <v>2221</v>
      </c>
      <c r="F115" s="796" t="s">
        <v>2221</v>
      </c>
      <c r="G115" s="796"/>
      <c r="H115" s="796"/>
      <c r="I115" s="796"/>
      <c r="J115" s="796"/>
      <c r="K115" s="796"/>
      <c r="L115" s="796"/>
      <c r="M115" s="796"/>
      <c r="N115" s="796"/>
      <c r="O115" s="796"/>
      <c r="P115" s="796"/>
      <c r="Q115" s="796"/>
      <c r="R115" s="796"/>
      <c r="S115" s="796" t="s">
        <v>1334</v>
      </c>
      <c r="T115" s="796" t="s">
        <v>2221</v>
      </c>
      <c r="U115" s="796" t="s">
        <v>2221</v>
      </c>
      <c r="V115" s="796"/>
      <c r="W115" s="796"/>
      <c r="X115" s="796"/>
      <c r="Y115" s="796" t="s">
        <v>1335</v>
      </c>
      <c r="Z115" s="796" t="s">
        <v>2221</v>
      </c>
      <c r="AA115" s="796" t="s">
        <v>2221</v>
      </c>
      <c r="AB115" s="796" t="s">
        <v>1336</v>
      </c>
      <c r="AC115" s="796" t="s">
        <v>2222</v>
      </c>
      <c r="AD115" s="796" t="s">
        <v>2222</v>
      </c>
      <c r="AE115" s="796"/>
      <c r="AF115" s="796"/>
      <c r="AG115" s="796"/>
      <c r="AH115" s="796"/>
      <c r="AI115" s="796"/>
      <c r="AJ115" s="796"/>
      <c r="AK115" s="796"/>
      <c r="AL115" s="796"/>
      <c r="AM115" s="796"/>
      <c r="AN115" s="796"/>
      <c r="AO115" s="796"/>
      <c r="AP115" s="796"/>
      <c r="AQ115" s="796"/>
      <c r="AR115" s="796"/>
      <c r="AS115" s="796"/>
      <c r="AT115" s="796"/>
      <c r="AU115" s="796"/>
    </row>
    <row r="116" spans="1:47" ht="13.5">
      <c r="A116" s="796" t="s">
        <v>1337</v>
      </c>
      <c r="B116" s="796" t="s">
        <v>2226</v>
      </c>
      <c r="C116" s="796" t="s">
        <v>2226</v>
      </c>
      <c r="D116" s="796" t="s">
        <v>1338</v>
      </c>
      <c r="E116" s="796" t="s">
        <v>2221</v>
      </c>
      <c r="F116" s="796" t="s">
        <v>2221</v>
      </c>
      <c r="G116" s="796"/>
      <c r="H116" s="796"/>
      <c r="I116" s="796"/>
      <c r="J116" s="796"/>
      <c r="K116" s="796"/>
      <c r="L116" s="796"/>
      <c r="M116" s="796"/>
      <c r="N116" s="796"/>
      <c r="O116" s="796"/>
      <c r="P116" s="796"/>
      <c r="Q116" s="796"/>
      <c r="R116" s="796"/>
      <c r="S116" s="796" t="s">
        <v>1339</v>
      </c>
      <c r="T116" s="796" t="s">
        <v>2221</v>
      </c>
      <c r="U116" s="796" t="s">
        <v>2221</v>
      </c>
      <c r="V116" s="796"/>
      <c r="W116" s="796"/>
      <c r="X116" s="796"/>
      <c r="Y116" s="796" t="s">
        <v>1340</v>
      </c>
      <c r="Z116" s="796" t="s">
        <v>2221</v>
      </c>
      <c r="AA116" s="796" t="s">
        <v>2221</v>
      </c>
      <c r="AB116" s="796" t="s">
        <v>1341</v>
      </c>
      <c r="AC116" s="796" t="s">
        <v>2223</v>
      </c>
      <c r="AD116" s="796" t="s">
        <v>2223</v>
      </c>
      <c r="AE116" s="796"/>
      <c r="AF116" s="796"/>
      <c r="AG116" s="796"/>
      <c r="AH116" s="796"/>
      <c r="AI116" s="796"/>
      <c r="AJ116" s="796"/>
      <c r="AK116" s="796"/>
      <c r="AL116" s="796"/>
      <c r="AM116" s="796"/>
      <c r="AN116" s="796"/>
      <c r="AO116" s="796"/>
      <c r="AP116" s="796"/>
      <c r="AQ116" s="796"/>
      <c r="AR116" s="796"/>
      <c r="AS116" s="796"/>
      <c r="AT116" s="796"/>
      <c r="AU116" s="796"/>
    </row>
    <row r="117" spans="1:47" ht="13.5">
      <c r="A117" s="796" t="s">
        <v>1342</v>
      </c>
      <c r="B117" s="796" t="s">
        <v>2225</v>
      </c>
      <c r="C117" s="796" t="s">
        <v>2225</v>
      </c>
      <c r="D117" s="796" t="s">
        <v>1343</v>
      </c>
      <c r="E117" s="796" t="s">
        <v>2221</v>
      </c>
      <c r="F117" s="796" t="s">
        <v>2221</v>
      </c>
      <c r="G117" s="796"/>
      <c r="H117" s="796"/>
      <c r="I117" s="796"/>
      <c r="J117" s="796"/>
      <c r="K117" s="796"/>
      <c r="L117" s="796"/>
      <c r="M117" s="796"/>
      <c r="N117" s="796"/>
      <c r="O117" s="796"/>
      <c r="P117" s="796"/>
      <c r="Q117" s="796"/>
      <c r="R117" s="796"/>
      <c r="S117" s="796" t="s">
        <v>1344</v>
      </c>
      <c r="T117" s="796" t="s">
        <v>2221</v>
      </c>
      <c r="U117" s="796" t="s">
        <v>2222</v>
      </c>
      <c r="V117" s="796"/>
      <c r="W117" s="796"/>
      <c r="X117" s="796"/>
      <c r="Y117" s="796" t="s">
        <v>1345</v>
      </c>
      <c r="Z117" s="796" t="s">
        <v>2221</v>
      </c>
      <c r="AA117" s="796" t="s">
        <v>2221</v>
      </c>
      <c r="AB117" s="796" t="s">
        <v>1346</v>
      </c>
      <c r="AC117" s="796" t="s">
        <v>2223</v>
      </c>
      <c r="AD117" s="796" t="s">
        <v>2223</v>
      </c>
      <c r="AE117" s="796"/>
      <c r="AF117" s="796"/>
      <c r="AG117" s="796"/>
      <c r="AH117" s="796"/>
      <c r="AI117" s="796"/>
      <c r="AJ117" s="796"/>
      <c r="AK117" s="796"/>
      <c r="AL117" s="796"/>
      <c r="AM117" s="796"/>
      <c r="AN117" s="796"/>
      <c r="AO117" s="796"/>
      <c r="AP117" s="796"/>
      <c r="AQ117" s="796"/>
      <c r="AR117" s="796"/>
      <c r="AS117" s="796"/>
      <c r="AT117" s="796"/>
      <c r="AU117" s="796"/>
    </row>
    <row r="118" spans="1:47" ht="13.5">
      <c r="A118" s="796" t="s">
        <v>1347</v>
      </c>
      <c r="B118" s="796" t="s">
        <v>2222</v>
      </c>
      <c r="C118" s="796" t="s">
        <v>2222</v>
      </c>
      <c r="D118" s="796" t="s">
        <v>1348</v>
      </c>
      <c r="E118" s="796" t="s">
        <v>2222</v>
      </c>
      <c r="F118" s="796" t="s">
        <v>2222</v>
      </c>
      <c r="G118" s="796"/>
      <c r="H118" s="796"/>
      <c r="I118" s="796"/>
      <c r="J118" s="796"/>
      <c r="K118" s="796"/>
      <c r="L118" s="796"/>
      <c r="M118" s="796"/>
      <c r="N118" s="796"/>
      <c r="O118" s="796"/>
      <c r="P118" s="796"/>
      <c r="Q118" s="796"/>
      <c r="R118" s="796"/>
      <c r="S118" s="796" t="s">
        <v>1349</v>
      </c>
      <c r="T118" s="796" t="s">
        <v>2226</v>
      </c>
      <c r="U118" s="796" t="s">
        <v>2226</v>
      </c>
      <c r="V118" s="796"/>
      <c r="W118" s="796"/>
      <c r="X118" s="796"/>
      <c r="Y118" s="796" t="s">
        <v>1350</v>
      </c>
      <c r="Z118" s="796" t="s">
        <v>2222</v>
      </c>
      <c r="AA118" s="796" t="s">
        <v>2223</v>
      </c>
      <c r="AB118" s="796" t="s">
        <v>1351</v>
      </c>
      <c r="AC118" s="796" t="s">
        <v>2224</v>
      </c>
      <c r="AD118" s="796" t="s">
        <v>2224</v>
      </c>
      <c r="AE118" s="796"/>
      <c r="AF118" s="796"/>
      <c r="AG118" s="796"/>
      <c r="AH118" s="796"/>
      <c r="AI118" s="796"/>
      <c r="AJ118" s="796"/>
      <c r="AK118" s="796"/>
      <c r="AL118" s="796"/>
      <c r="AM118" s="796"/>
      <c r="AN118" s="796"/>
      <c r="AO118" s="796"/>
      <c r="AP118" s="796"/>
      <c r="AQ118" s="796"/>
      <c r="AR118" s="796"/>
      <c r="AS118" s="796"/>
      <c r="AT118" s="796"/>
      <c r="AU118" s="796"/>
    </row>
    <row r="119" spans="1:47" ht="13.5">
      <c r="A119" s="796" t="s">
        <v>1352</v>
      </c>
      <c r="B119" s="796" t="s">
        <v>2222</v>
      </c>
      <c r="C119" s="796" t="s">
        <v>2222</v>
      </c>
      <c r="D119" s="796" t="s">
        <v>1353</v>
      </c>
      <c r="E119" s="796" t="s">
        <v>2222</v>
      </c>
      <c r="F119" s="796" t="s">
        <v>2222</v>
      </c>
      <c r="G119" s="796"/>
      <c r="H119" s="796"/>
      <c r="I119" s="796"/>
      <c r="J119" s="796"/>
      <c r="K119" s="796"/>
      <c r="L119" s="796"/>
      <c r="M119" s="796"/>
      <c r="N119" s="796"/>
      <c r="O119" s="796"/>
      <c r="P119" s="796"/>
      <c r="Q119" s="796"/>
      <c r="R119" s="796"/>
      <c r="S119" s="796" t="s">
        <v>1354</v>
      </c>
      <c r="T119" s="796" t="s">
        <v>2225</v>
      </c>
      <c r="U119" s="796" t="s">
        <v>2225</v>
      </c>
      <c r="V119" s="796"/>
      <c r="W119" s="796"/>
      <c r="X119" s="796"/>
      <c r="Y119" s="796" t="s">
        <v>1355</v>
      </c>
      <c r="Z119" s="796" t="s">
        <v>2221</v>
      </c>
      <c r="AA119" s="796" t="s">
        <v>2221</v>
      </c>
      <c r="AB119" s="796" t="s">
        <v>1356</v>
      </c>
      <c r="AC119" s="796" t="s">
        <v>2222</v>
      </c>
      <c r="AD119" s="796" t="s">
        <v>2222</v>
      </c>
      <c r="AE119" s="796"/>
      <c r="AF119" s="796"/>
      <c r="AG119" s="796"/>
      <c r="AH119" s="796"/>
      <c r="AI119" s="796"/>
      <c r="AJ119" s="796"/>
      <c r="AK119" s="796"/>
      <c r="AL119" s="796"/>
      <c r="AM119" s="796"/>
      <c r="AN119" s="796"/>
      <c r="AO119" s="796"/>
      <c r="AP119" s="796"/>
      <c r="AQ119" s="796"/>
      <c r="AR119" s="796"/>
      <c r="AS119" s="796"/>
      <c r="AT119" s="796"/>
      <c r="AU119" s="796"/>
    </row>
    <row r="120" spans="1:47" ht="13.5">
      <c r="A120" s="796" t="s">
        <v>1357</v>
      </c>
      <c r="B120" s="796" t="s">
        <v>2221</v>
      </c>
      <c r="C120" s="796" t="s">
        <v>2221</v>
      </c>
      <c r="D120" s="796" t="s">
        <v>1358</v>
      </c>
      <c r="E120" s="796" t="s">
        <v>2221</v>
      </c>
      <c r="F120" s="796" t="s">
        <v>2221</v>
      </c>
      <c r="G120" s="796"/>
      <c r="H120" s="796"/>
      <c r="I120" s="796"/>
      <c r="J120" s="796"/>
      <c r="K120" s="796"/>
      <c r="L120" s="796"/>
      <c r="M120" s="796"/>
      <c r="N120" s="796"/>
      <c r="O120" s="796"/>
      <c r="P120" s="796"/>
      <c r="Q120" s="796"/>
      <c r="R120" s="796"/>
      <c r="S120" s="796" t="s">
        <v>1359</v>
      </c>
      <c r="T120" s="796" t="s">
        <v>2222</v>
      </c>
      <c r="U120" s="796" t="s">
        <v>2221</v>
      </c>
      <c r="V120" s="796"/>
      <c r="W120" s="796"/>
      <c r="X120" s="796"/>
      <c r="Y120" s="796" t="s">
        <v>1360</v>
      </c>
      <c r="Z120" s="796" t="s">
        <v>2221</v>
      </c>
      <c r="AA120" s="796" t="s">
        <v>2221</v>
      </c>
      <c r="AB120" s="796" t="s">
        <v>1361</v>
      </c>
      <c r="AC120" s="796" t="s">
        <v>2222</v>
      </c>
      <c r="AD120" s="796" t="s">
        <v>2222</v>
      </c>
      <c r="AE120" s="796"/>
      <c r="AF120" s="796"/>
      <c r="AG120" s="796"/>
      <c r="AH120" s="796"/>
      <c r="AI120" s="796"/>
      <c r="AJ120" s="796"/>
      <c r="AK120" s="796"/>
      <c r="AL120" s="796"/>
      <c r="AM120" s="796"/>
      <c r="AN120" s="796"/>
      <c r="AO120" s="796"/>
      <c r="AP120" s="796"/>
      <c r="AQ120" s="796"/>
      <c r="AR120" s="796"/>
      <c r="AS120" s="796"/>
      <c r="AT120" s="796"/>
      <c r="AU120" s="796"/>
    </row>
    <row r="121" spans="1:47" ht="13.5">
      <c r="A121" s="796" t="s">
        <v>1362</v>
      </c>
      <c r="B121" s="796" t="s">
        <v>2224</v>
      </c>
      <c r="C121" s="796" t="s">
        <v>2224</v>
      </c>
      <c r="D121" s="796" t="s">
        <v>1363</v>
      </c>
      <c r="E121" s="796" t="s">
        <v>2224</v>
      </c>
      <c r="F121" s="796" t="s">
        <v>2224</v>
      </c>
      <c r="G121" s="796"/>
      <c r="H121" s="796"/>
      <c r="I121" s="796"/>
      <c r="J121" s="796"/>
      <c r="K121" s="796"/>
      <c r="L121" s="796"/>
      <c r="M121" s="796"/>
      <c r="N121" s="796"/>
      <c r="O121" s="796"/>
      <c r="P121" s="796"/>
      <c r="Q121" s="796"/>
      <c r="R121" s="796"/>
      <c r="S121" s="796" t="s">
        <v>1364</v>
      </c>
      <c r="T121" s="796" t="s">
        <v>2222</v>
      </c>
      <c r="U121" s="796" t="s">
        <v>2223</v>
      </c>
      <c r="V121" s="796"/>
      <c r="W121" s="796"/>
      <c r="X121" s="796"/>
      <c r="Y121" s="796" t="s">
        <v>1365</v>
      </c>
      <c r="Z121" s="796" t="s">
        <v>2221</v>
      </c>
      <c r="AA121" s="796" t="s">
        <v>2221</v>
      </c>
      <c r="AB121" s="796" t="s">
        <v>1366</v>
      </c>
      <c r="AC121" s="796" t="s">
        <v>2224</v>
      </c>
      <c r="AD121" s="796" t="s">
        <v>2224</v>
      </c>
      <c r="AE121" s="796"/>
      <c r="AF121" s="796"/>
      <c r="AG121" s="796"/>
      <c r="AH121" s="796"/>
      <c r="AI121" s="796"/>
      <c r="AJ121" s="796"/>
      <c r="AK121" s="796"/>
      <c r="AL121" s="796"/>
      <c r="AM121" s="796"/>
      <c r="AN121" s="796"/>
      <c r="AO121" s="796"/>
      <c r="AP121" s="796"/>
      <c r="AQ121" s="796"/>
      <c r="AR121" s="796"/>
      <c r="AS121" s="796"/>
      <c r="AT121" s="796"/>
      <c r="AU121" s="796"/>
    </row>
    <row r="122" spans="1:47" ht="13.5">
      <c r="A122" s="796" t="s">
        <v>1367</v>
      </c>
      <c r="B122" s="796" t="s">
        <v>2224</v>
      </c>
      <c r="C122" s="796" t="s">
        <v>2224</v>
      </c>
      <c r="D122" s="796" t="s">
        <v>1368</v>
      </c>
      <c r="E122" s="796" t="s">
        <v>2221</v>
      </c>
      <c r="F122" s="796" t="s">
        <v>2221</v>
      </c>
      <c r="G122" s="796"/>
      <c r="H122" s="796"/>
      <c r="I122" s="796"/>
      <c r="J122" s="796"/>
      <c r="K122" s="796"/>
      <c r="L122" s="796"/>
      <c r="M122" s="796"/>
      <c r="N122" s="796"/>
      <c r="O122" s="796"/>
      <c r="P122" s="796"/>
      <c r="Q122" s="796"/>
      <c r="R122" s="796"/>
      <c r="S122" s="796" t="s">
        <v>1369</v>
      </c>
      <c r="T122" s="796" t="s">
        <v>2226</v>
      </c>
      <c r="U122" s="796" t="s">
        <v>2225</v>
      </c>
      <c r="V122" s="796"/>
      <c r="W122" s="796"/>
      <c r="X122" s="796"/>
      <c r="Y122" s="796" t="s">
        <v>1370</v>
      </c>
      <c r="Z122" s="796" t="s">
        <v>2221</v>
      </c>
      <c r="AA122" s="796" t="s">
        <v>2221</v>
      </c>
      <c r="AB122" s="796" t="s">
        <v>1371</v>
      </c>
      <c r="AC122" s="796" t="s">
        <v>2223</v>
      </c>
      <c r="AD122" s="796" t="s">
        <v>2223</v>
      </c>
      <c r="AE122" s="796"/>
      <c r="AF122" s="796"/>
      <c r="AG122" s="796"/>
      <c r="AH122" s="796"/>
      <c r="AI122" s="796"/>
      <c r="AJ122" s="796"/>
      <c r="AK122" s="796"/>
      <c r="AL122" s="796"/>
      <c r="AM122" s="796"/>
      <c r="AN122" s="796"/>
      <c r="AO122" s="796"/>
      <c r="AP122" s="796"/>
      <c r="AQ122" s="796"/>
      <c r="AR122" s="796"/>
      <c r="AS122" s="796"/>
      <c r="AT122" s="796"/>
      <c r="AU122" s="796"/>
    </row>
    <row r="123" spans="1:47" ht="13.5">
      <c r="A123" s="796" t="s">
        <v>1372</v>
      </c>
      <c r="B123" s="796" t="s">
        <v>2223</v>
      </c>
      <c r="C123" s="796" t="s">
        <v>2223</v>
      </c>
      <c r="D123" s="796" t="s">
        <v>1373</v>
      </c>
      <c r="E123" s="796" t="s">
        <v>2221</v>
      </c>
      <c r="F123" s="796" t="s">
        <v>2221</v>
      </c>
      <c r="G123" s="796"/>
      <c r="H123" s="796"/>
      <c r="I123" s="796"/>
      <c r="J123" s="796"/>
      <c r="K123" s="796"/>
      <c r="L123" s="796"/>
      <c r="M123" s="796"/>
      <c r="N123" s="796"/>
      <c r="O123" s="796"/>
      <c r="P123" s="796"/>
      <c r="Q123" s="796"/>
      <c r="R123" s="796"/>
      <c r="S123" s="796" t="s">
        <v>1374</v>
      </c>
      <c r="T123" s="796" t="s">
        <v>2223</v>
      </c>
      <c r="U123" s="796" t="s">
        <v>2223</v>
      </c>
      <c r="V123" s="796"/>
      <c r="W123" s="796"/>
      <c r="X123" s="796"/>
      <c r="Y123" s="796" t="s">
        <v>1375</v>
      </c>
      <c r="Z123" s="796" t="s">
        <v>2221</v>
      </c>
      <c r="AA123" s="796" t="s">
        <v>2221</v>
      </c>
      <c r="AB123" s="796" t="s">
        <v>1376</v>
      </c>
      <c r="AC123" s="796" t="s">
        <v>2222</v>
      </c>
      <c r="AD123" s="796" t="s">
        <v>2222</v>
      </c>
      <c r="AE123" s="796"/>
      <c r="AF123" s="796"/>
      <c r="AG123" s="796"/>
      <c r="AH123" s="796"/>
      <c r="AI123" s="796"/>
      <c r="AJ123" s="796"/>
      <c r="AK123" s="796"/>
      <c r="AL123" s="796"/>
      <c r="AM123" s="796"/>
      <c r="AN123" s="796"/>
      <c r="AO123" s="796"/>
      <c r="AP123" s="796"/>
      <c r="AQ123" s="796"/>
      <c r="AR123" s="796"/>
      <c r="AS123" s="796"/>
      <c r="AT123" s="796"/>
      <c r="AU123" s="796"/>
    </row>
    <row r="124" spans="1:47" ht="13.5">
      <c r="A124" s="796" t="s">
        <v>1377</v>
      </c>
      <c r="B124" s="796" t="s">
        <v>2222</v>
      </c>
      <c r="C124" s="796" t="s">
        <v>2223</v>
      </c>
      <c r="D124" s="796" t="s">
        <v>1378</v>
      </c>
      <c r="E124" s="796" t="s">
        <v>2223</v>
      </c>
      <c r="F124" s="796" t="s">
        <v>2223</v>
      </c>
      <c r="G124" s="796"/>
      <c r="H124" s="796"/>
      <c r="I124" s="796"/>
      <c r="J124" s="796"/>
      <c r="K124" s="796"/>
      <c r="L124" s="796"/>
      <c r="M124" s="796"/>
      <c r="N124" s="796"/>
      <c r="O124" s="796"/>
      <c r="P124" s="796"/>
      <c r="Q124" s="796"/>
      <c r="R124" s="796"/>
      <c r="S124" s="796" t="s">
        <v>1379</v>
      </c>
      <c r="T124" s="796" t="s">
        <v>2222</v>
      </c>
      <c r="U124" s="796" t="s">
        <v>2223</v>
      </c>
      <c r="V124" s="796"/>
      <c r="W124" s="796"/>
      <c r="X124" s="796"/>
      <c r="Y124" s="796" t="s">
        <v>1380</v>
      </c>
      <c r="Z124" s="796"/>
      <c r="AA124" s="796" t="s">
        <v>2221</v>
      </c>
      <c r="AB124" s="796" t="s">
        <v>1381</v>
      </c>
      <c r="AC124" s="796" t="s">
        <v>2222</v>
      </c>
      <c r="AD124" s="796" t="s">
        <v>2222</v>
      </c>
      <c r="AE124" s="796"/>
      <c r="AF124" s="796"/>
      <c r="AG124" s="796"/>
      <c r="AH124" s="796"/>
      <c r="AI124" s="796"/>
      <c r="AJ124" s="796"/>
      <c r="AK124" s="796"/>
      <c r="AL124" s="796"/>
      <c r="AM124" s="796"/>
      <c r="AN124" s="796"/>
      <c r="AO124" s="796"/>
      <c r="AP124" s="796"/>
      <c r="AQ124" s="796"/>
      <c r="AR124" s="796"/>
      <c r="AS124" s="796"/>
      <c r="AT124" s="796"/>
      <c r="AU124" s="796"/>
    </row>
    <row r="125" spans="1:47" ht="13.5">
      <c r="A125" s="796" t="s">
        <v>1382</v>
      </c>
      <c r="B125" s="796" t="s">
        <v>2222</v>
      </c>
      <c r="C125" s="796" t="s">
        <v>2223</v>
      </c>
      <c r="D125" s="796" t="s">
        <v>1383</v>
      </c>
      <c r="E125" s="796" t="s">
        <v>2221</v>
      </c>
      <c r="F125" s="796" t="s">
        <v>2221</v>
      </c>
      <c r="G125" s="796"/>
      <c r="H125" s="796"/>
      <c r="I125" s="796"/>
      <c r="J125" s="796"/>
      <c r="K125" s="796"/>
      <c r="L125" s="796"/>
      <c r="M125" s="796"/>
      <c r="N125" s="796"/>
      <c r="O125" s="796"/>
      <c r="P125" s="796"/>
      <c r="Q125" s="796"/>
      <c r="R125" s="796"/>
      <c r="S125" s="796" t="s">
        <v>1384</v>
      </c>
      <c r="T125" s="796" t="s">
        <v>2221</v>
      </c>
      <c r="U125" s="796" t="s">
        <v>2222</v>
      </c>
      <c r="V125" s="796"/>
      <c r="W125" s="796"/>
      <c r="X125" s="796"/>
      <c r="Y125" s="796" t="s">
        <v>1385</v>
      </c>
      <c r="Z125" s="796" t="s">
        <v>2221</v>
      </c>
      <c r="AA125" s="796" t="s">
        <v>2222</v>
      </c>
      <c r="AB125" s="796" t="s">
        <v>1386</v>
      </c>
      <c r="AC125" s="796" t="s">
        <v>2223</v>
      </c>
      <c r="AD125" s="796" t="s">
        <v>2223</v>
      </c>
      <c r="AE125" s="796"/>
      <c r="AF125" s="796"/>
      <c r="AG125" s="796"/>
      <c r="AH125" s="796"/>
      <c r="AI125" s="796"/>
      <c r="AJ125" s="796"/>
      <c r="AK125" s="796"/>
      <c r="AL125" s="796"/>
      <c r="AM125" s="796"/>
      <c r="AN125" s="796"/>
      <c r="AO125" s="796"/>
      <c r="AP125" s="796"/>
      <c r="AQ125" s="796"/>
      <c r="AR125" s="796"/>
      <c r="AS125" s="796"/>
      <c r="AT125" s="796"/>
      <c r="AU125" s="796"/>
    </row>
    <row r="126" spans="1:47" ht="13.5">
      <c r="A126" s="796" t="s">
        <v>1387</v>
      </c>
      <c r="B126" s="796" t="s">
        <v>2222</v>
      </c>
      <c r="C126" s="796" t="s">
        <v>2223</v>
      </c>
      <c r="D126" s="796" t="s">
        <v>1388</v>
      </c>
      <c r="E126" s="796" t="s">
        <v>2221</v>
      </c>
      <c r="F126" s="796" t="s">
        <v>2221</v>
      </c>
      <c r="G126" s="796"/>
      <c r="H126" s="796"/>
      <c r="I126" s="796"/>
      <c r="J126" s="796"/>
      <c r="K126" s="796"/>
      <c r="L126" s="796"/>
      <c r="M126" s="796"/>
      <c r="N126" s="796"/>
      <c r="O126" s="796"/>
      <c r="P126" s="796"/>
      <c r="Q126" s="796"/>
      <c r="R126" s="796"/>
      <c r="S126" s="796" t="s">
        <v>1389</v>
      </c>
      <c r="T126" s="796" t="s">
        <v>2222</v>
      </c>
      <c r="U126" s="796" t="s">
        <v>2222</v>
      </c>
      <c r="V126" s="796"/>
      <c r="W126" s="796"/>
      <c r="X126" s="796"/>
      <c r="Y126" s="796" t="s">
        <v>1390</v>
      </c>
      <c r="Z126" s="796" t="s">
        <v>2221</v>
      </c>
      <c r="AA126" s="796" t="s">
        <v>2221</v>
      </c>
      <c r="AB126" s="796" t="s">
        <v>1391</v>
      </c>
      <c r="AC126" s="796" t="s">
        <v>2222</v>
      </c>
      <c r="AD126" s="796" t="s">
        <v>2222</v>
      </c>
      <c r="AE126" s="796"/>
      <c r="AF126" s="796"/>
      <c r="AG126" s="796"/>
      <c r="AH126" s="796"/>
      <c r="AI126" s="796"/>
      <c r="AJ126" s="796"/>
      <c r="AK126" s="796"/>
      <c r="AL126" s="796"/>
      <c r="AM126" s="796"/>
      <c r="AN126" s="796"/>
      <c r="AO126" s="796"/>
      <c r="AP126" s="796"/>
      <c r="AQ126" s="796"/>
      <c r="AR126" s="796"/>
      <c r="AS126" s="796"/>
      <c r="AT126" s="796"/>
      <c r="AU126" s="796"/>
    </row>
    <row r="127" spans="1:47" ht="13.5">
      <c r="A127" s="796" t="s">
        <v>1392</v>
      </c>
      <c r="B127" s="796" t="s">
        <v>2223</v>
      </c>
      <c r="C127" s="796" t="s">
        <v>2224</v>
      </c>
      <c r="D127" s="796" t="s">
        <v>1393</v>
      </c>
      <c r="E127" s="796" t="s">
        <v>2225</v>
      </c>
      <c r="F127" s="796" t="s">
        <v>2225</v>
      </c>
      <c r="G127" s="796"/>
      <c r="H127" s="796"/>
      <c r="I127" s="796"/>
      <c r="J127" s="796"/>
      <c r="K127" s="796"/>
      <c r="L127" s="796"/>
      <c r="M127" s="796"/>
      <c r="N127" s="796"/>
      <c r="O127" s="796"/>
      <c r="P127" s="796"/>
      <c r="Q127" s="796"/>
      <c r="R127" s="796"/>
      <c r="S127" s="796" t="s">
        <v>1394</v>
      </c>
      <c r="T127" s="796" t="s">
        <v>2222</v>
      </c>
      <c r="U127" s="796" t="s">
        <v>2222</v>
      </c>
      <c r="V127" s="796"/>
      <c r="W127" s="796"/>
      <c r="X127" s="796"/>
      <c r="Y127" s="796" t="s">
        <v>1395</v>
      </c>
      <c r="Z127" s="796" t="s">
        <v>2221</v>
      </c>
      <c r="AA127" s="796" t="s">
        <v>2221</v>
      </c>
      <c r="AB127" s="796" t="s">
        <v>1396</v>
      </c>
      <c r="AC127" s="796" t="s">
        <v>2223</v>
      </c>
      <c r="AD127" s="796" t="s">
        <v>2223</v>
      </c>
      <c r="AE127" s="796"/>
      <c r="AF127" s="796"/>
      <c r="AG127" s="796"/>
      <c r="AH127" s="796"/>
      <c r="AI127" s="796"/>
      <c r="AJ127" s="796"/>
      <c r="AK127" s="796"/>
      <c r="AL127" s="796"/>
      <c r="AM127" s="796"/>
      <c r="AN127" s="796"/>
      <c r="AO127" s="796"/>
      <c r="AP127" s="796"/>
      <c r="AQ127" s="796"/>
      <c r="AR127" s="796"/>
      <c r="AS127" s="796"/>
      <c r="AT127" s="796"/>
      <c r="AU127" s="796"/>
    </row>
    <row r="128" spans="1:47" ht="13.5">
      <c r="A128" s="796" t="s">
        <v>1397</v>
      </c>
      <c r="B128" s="796" t="s">
        <v>2221</v>
      </c>
      <c r="C128" s="796" t="s">
        <v>2222</v>
      </c>
      <c r="D128" s="796" t="s">
        <v>1398</v>
      </c>
      <c r="E128" s="796" t="s">
        <v>2221</v>
      </c>
      <c r="F128" s="796" t="s">
        <v>2221</v>
      </c>
      <c r="G128" s="796"/>
      <c r="H128" s="796"/>
      <c r="I128" s="796"/>
      <c r="J128" s="796"/>
      <c r="K128" s="796"/>
      <c r="L128" s="796"/>
      <c r="M128" s="796"/>
      <c r="N128" s="796"/>
      <c r="O128" s="796"/>
      <c r="P128" s="796"/>
      <c r="Q128" s="796"/>
      <c r="R128" s="796"/>
      <c r="S128" s="796" t="s">
        <v>1399</v>
      </c>
      <c r="T128" s="796" t="s">
        <v>2223</v>
      </c>
      <c r="U128" s="796" t="s">
        <v>2223</v>
      </c>
      <c r="V128" s="796"/>
      <c r="W128" s="796"/>
      <c r="X128" s="796"/>
      <c r="Y128" s="796" t="s">
        <v>1400</v>
      </c>
      <c r="Z128" s="796" t="s">
        <v>2222</v>
      </c>
      <c r="AA128" s="796" t="s">
        <v>2222</v>
      </c>
      <c r="AB128" s="796" t="s">
        <v>1401</v>
      </c>
      <c r="AC128" s="796" t="s">
        <v>2222</v>
      </c>
      <c r="AD128" s="796" t="s">
        <v>2222</v>
      </c>
      <c r="AE128" s="796"/>
      <c r="AF128" s="796"/>
      <c r="AG128" s="796"/>
      <c r="AH128" s="796"/>
      <c r="AI128" s="796"/>
      <c r="AJ128" s="796"/>
      <c r="AK128" s="796"/>
      <c r="AL128" s="796"/>
      <c r="AM128" s="796"/>
      <c r="AN128" s="796"/>
      <c r="AO128" s="796"/>
      <c r="AP128" s="796"/>
      <c r="AQ128" s="796"/>
      <c r="AR128" s="796"/>
      <c r="AS128" s="796"/>
      <c r="AT128" s="796"/>
      <c r="AU128" s="796"/>
    </row>
    <row r="129" spans="1:47" ht="13.5">
      <c r="A129" s="796" t="s">
        <v>1402</v>
      </c>
      <c r="B129" s="796" t="s">
        <v>2222</v>
      </c>
      <c r="C129" s="796" t="s">
        <v>2222</v>
      </c>
      <c r="D129" s="796" t="s">
        <v>1403</v>
      </c>
      <c r="E129" s="796" t="s">
        <v>2221</v>
      </c>
      <c r="F129" s="796" t="s">
        <v>2221</v>
      </c>
      <c r="G129" s="796"/>
      <c r="H129" s="796"/>
      <c r="I129" s="796"/>
      <c r="J129" s="796"/>
      <c r="K129" s="796"/>
      <c r="L129" s="796"/>
      <c r="M129" s="796"/>
      <c r="N129" s="796"/>
      <c r="O129" s="796"/>
      <c r="P129" s="796"/>
      <c r="Q129" s="796"/>
      <c r="R129" s="796"/>
      <c r="S129" s="796" t="s">
        <v>1404</v>
      </c>
      <c r="T129" s="796" t="s">
        <v>2222</v>
      </c>
      <c r="U129" s="796" t="s">
        <v>2222</v>
      </c>
      <c r="V129" s="796"/>
      <c r="W129" s="796"/>
      <c r="X129" s="796"/>
      <c r="Y129" s="796" t="s">
        <v>1405</v>
      </c>
      <c r="Z129" s="796" t="s">
        <v>2221</v>
      </c>
      <c r="AA129" s="796" t="s">
        <v>2221</v>
      </c>
      <c r="AB129" s="796" t="s">
        <v>1406</v>
      </c>
      <c r="AC129" s="796" t="s">
        <v>2222</v>
      </c>
      <c r="AD129" s="796" t="s">
        <v>2222</v>
      </c>
      <c r="AE129" s="796"/>
      <c r="AF129" s="796"/>
      <c r="AG129" s="796"/>
      <c r="AH129" s="796"/>
      <c r="AI129" s="796"/>
      <c r="AJ129" s="796"/>
      <c r="AK129" s="796"/>
      <c r="AL129" s="796"/>
      <c r="AM129" s="796"/>
      <c r="AN129" s="796"/>
      <c r="AO129" s="796"/>
      <c r="AP129" s="796"/>
      <c r="AQ129" s="796"/>
      <c r="AR129" s="796"/>
      <c r="AS129" s="796"/>
      <c r="AT129" s="796"/>
      <c r="AU129" s="796"/>
    </row>
    <row r="130" spans="1:47" ht="13.5">
      <c r="A130" s="796" t="s">
        <v>1407</v>
      </c>
      <c r="B130" s="796" t="s">
        <v>2221</v>
      </c>
      <c r="C130" s="796" t="s">
        <v>2222</v>
      </c>
      <c r="D130" s="796" t="s">
        <v>1408</v>
      </c>
      <c r="E130" s="796" t="s">
        <v>2221</v>
      </c>
      <c r="F130" s="796" t="s">
        <v>2221</v>
      </c>
      <c r="G130" s="796"/>
      <c r="H130" s="796"/>
      <c r="I130" s="796"/>
      <c r="J130" s="796"/>
      <c r="K130" s="796"/>
      <c r="L130" s="796"/>
      <c r="M130" s="796"/>
      <c r="N130" s="796"/>
      <c r="O130" s="796"/>
      <c r="P130" s="796"/>
      <c r="Q130" s="796"/>
      <c r="R130" s="796"/>
      <c r="S130" s="796" t="s">
        <v>1409</v>
      </c>
      <c r="T130" s="796" t="s">
        <v>2222</v>
      </c>
      <c r="U130" s="796"/>
      <c r="V130" s="796"/>
      <c r="W130" s="796"/>
      <c r="X130" s="796"/>
      <c r="Y130" s="796" t="s">
        <v>1410</v>
      </c>
      <c r="Z130" s="796" t="s">
        <v>2221</v>
      </c>
      <c r="AA130" s="796" t="s">
        <v>2221</v>
      </c>
      <c r="AB130" s="796" t="s">
        <v>1411</v>
      </c>
      <c r="AC130" s="796" t="s">
        <v>2225</v>
      </c>
      <c r="AD130" s="796" t="s">
        <v>2225</v>
      </c>
      <c r="AE130" s="796"/>
      <c r="AF130" s="796"/>
      <c r="AG130" s="796"/>
      <c r="AH130" s="796"/>
      <c r="AI130" s="796"/>
      <c r="AJ130" s="796"/>
      <c r="AK130" s="796"/>
      <c r="AL130" s="796"/>
      <c r="AM130" s="796"/>
      <c r="AN130" s="796"/>
      <c r="AO130" s="796"/>
      <c r="AP130" s="796"/>
      <c r="AQ130" s="796"/>
      <c r="AR130" s="796"/>
      <c r="AS130" s="796"/>
      <c r="AT130" s="796"/>
      <c r="AU130" s="796"/>
    </row>
    <row r="131" spans="1:47" ht="13.5">
      <c r="A131" s="796" t="s">
        <v>1412</v>
      </c>
      <c r="B131" s="796" t="s">
        <v>2222</v>
      </c>
      <c r="C131" s="796" t="s">
        <v>2222</v>
      </c>
      <c r="D131" s="796" t="s">
        <v>1413</v>
      </c>
      <c r="E131" s="796" t="s">
        <v>2221</v>
      </c>
      <c r="F131" s="796" t="s">
        <v>2221</v>
      </c>
      <c r="G131" s="796"/>
      <c r="H131" s="796"/>
      <c r="I131" s="796"/>
      <c r="J131" s="796"/>
      <c r="K131" s="796"/>
      <c r="L131" s="796"/>
      <c r="M131" s="796"/>
      <c r="N131" s="796"/>
      <c r="O131" s="796"/>
      <c r="P131" s="796"/>
      <c r="Q131" s="796"/>
      <c r="R131" s="796"/>
      <c r="S131" s="796" t="s">
        <v>1414</v>
      </c>
      <c r="T131" s="796" t="s">
        <v>2224</v>
      </c>
      <c r="U131" s="796" t="s">
        <v>2223</v>
      </c>
      <c r="V131" s="796"/>
      <c r="W131" s="796"/>
      <c r="X131" s="796"/>
      <c r="Y131" s="796" t="s">
        <v>1415</v>
      </c>
      <c r="Z131" s="796" t="s">
        <v>2221</v>
      </c>
      <c r="AA131" s="796" t="s">
        <v>2221</v>
      </c>
      <c r="AB131" s="796" t="s">
        <v>1416</v>
      </c>
      <c r="AC131" s="796" t="s">
        <v>2221</v>
      </c>
      <c r="AD131" s="796" t="s">
        <v>2221</v>
      </c>
      <c r="AE131" s="796"/>
      <c r="AF131" s="796"/>
      <c r="AG131" s="796"/>
      <c r="AH131" s="796"/>
      <c r="AI131" s="796"/>
      <c r="AJ131" s="796"/>
      <c r="AK131" s="796"/>
      <c r="AL131" s="796"/>
      <c r="AM131" s="796"/>
      <c r="AN131" s="796"/>
      <c r="AO131" s="796"/>
      <c r="AP131" s="796"/>
      <c r="AQ131" s="796"/>
      <c r="AR131" s="796"/>
      <c r="AS131" s="796"/>
      <c r="AT131" s="796"/>
      <c r="AU131" s="796"/>
    </row>
    <row r="132" spans="1:47" ht="13.5">
      <c r="A132" s="796" t="s">
        <v>1417</v>
      </c>
      <c r="B132" s="796" t="s">
        <v>2221</v>
      </c>
      <c r="C132" s="796" t="s">
        <v>2221</v>
      </c>
      <c r="D132" s="796" t="s">
        <v>1418</v>
      </c>
      <c r="E132" s="796" t="s">
        <v>2226</v>
      </c>
      <c r="F132" s="796" t="s">
        <v>2226</v>
      </c>
      <c r="G132" s="796"/>
      <c r="H132" s="796"/>
      <c r="I132" s="796"/>
      <c r="J132" s="796"/>
      <c r="K132" s="796"/>
      <c r="L132" s="796"/>
      <c r="M132" s="796"/>
      <c r="N132" s="796"/>
      <c r="O132" s="796"/>
      <c r="P132" s="796"/>
      <c r="Q132" s="796"/>
      <c r="R132" s="796"/>
      <c r="S132" s="796" t="s">
        <v>1419</v>
      </c>
      <c r="T132" s="796" t="s">
        <v>2225</v>
      </c>
      <c r="U132" s="796" t="s">
        <v>2225</v>
      </c>
      <c r="V132" s="796"/>
      <c r="W132" s="796"/>
      <c r="X132" s="796"/>
      <c r="Y132" s="796" t="s">
        <v>1420</v>
      </c>
      <c r="Z132" s="796" t="s">
        <v>2221</v>
      </c>
      <c r="AA132" s="796" t="s">
        <v>2221</v>
      </c>
      <c r="AB132" s="796" t="s">
        <v>1421</v>
      </c>
      <c r="AC132" s="796" t="s">
        <v>2223</v>
      </c>
      <c r="AD132" s="796" t="s">
        <v>2223</v>
      </c>
      <c r="AE132" s="796"/>
      <c r="AF132" s="796"/>
      <c r="AG132" s="796"/>
      <c r="AH132" s="796"/>
      <c r="AI132" s="796"/>
      <c r="AJ132" s="796"/>
      <c r="AK132" s="796"/>
      <c r="AL132" s="796"/>
      <c r="AM132" s="796"/>
      <c r="AN132" s="796"/>
      <c r="AO132" s="796"/>
      <c r="AP132" s="796"/>
      <c r="AQ132" s="796"/>
      <c r="AR132" s="796"/>
      <c r="AS132" s="796"/>
      <c r="AT132" s="796"/>
      <c r="AU132" s="796"/>
    </row>
    <row r="133" spans="1:47" ht="13.5">
      <c r="A133" s="796" t="s">
        <v>1422</v>
      </c>
      <c r="B133" s="796" t="s">
        <v>2222</v>
      </c>
      <c r="C133" s="796" t="s">
        <v>2223</v>
      </c>
      <c r="D133" s="796" t="s">
        <v>1423</v>
      </c>
      <c r="E133" s="796" t="s">
        <v>2221</v>
      </c>
      <c r="F133" s="796" t="s">
        <v>2221</v>
      </c>
      <c r="G133" s="796"/>
      <c r="H133" s="796"/>
      <c r="I133" s="796"/>
      <c r="J133" s="796"/>
      <c r="K133" s="796"/>
      <c r="L133" s="796"/>
      <c r="M133" s="796"/>
      <c r="N133" s="796"/>
      <c r="O133" s="796"/>
      <c r="P133" s="796"/>
      <c r="Q133" s="796"/>
      <c r="R133" s="796"/>
      <c r="S133" s="796" t="s">
        <v>1424</v>
      </c>
      <c r="T133" s="796" t="s">
        <v>2224</v>
      </c>
      <c r="U133" s="796" t="s">
        <v>2225</v>
      </c>
      <c r="V133" s="796"/>
      <c r="W133" s="796"/>
      <c r="X133" s="796"/>
      <c r="Y133" s="796" t="s">
        <v>1425</v>
      </c>
      <c r="Z133" s="796" t="s">
        <v>2221</v>
      </c>
      <c r="AA133" s="796" t="s">
        <v>2221</v>
      </c>
      <c r="AB133" s="796" t="s">
        <v>1426</v>
      </c>
      <c r="AC133" s="796" t="s">
        <v>2221</v>
      </c>
      <c r="AD133" s="796" t="s">
        <v>2221</v>
      </c>
      <c r="AE133" s="796"/>
      <c r="AF133" s="796"/>
      <c r="AG133" s="796"/>
      <c r="AH133" s="796"/>
      <c r="AI133" s="796"/>
      <c r="AJ133" s="796"/>
      <c r="AK133" s="796"/>
      <c r="AL133" s="796"/>
      <c r="AM133" s="796"/>
      <c r="AN133" s="796"/>
      <c r="AO133" s="796"/>
      <c r="AP133" s="796"/>
      <c r="AQ133" s="796"/>
      <c r="AR133" s="796"/>
      <c r="AS133" s="796"/>
      <c r="AT133" s="796"/>
      <c r="AU133" s="796"/>
    </row>
    <row r="134" spans="1:47" ht="13.5">
      <c r="A134" s="796" t="s">
        <v>1427</v>
      </c>
      <c r="B134" s="796" t="s">
        <v>2222</v>
      </c>
      <c r="C134" s="796" t="s">
        <v>2223</v>
      </c>
      <c r="D134" s="796" t="s">
        <v>1428</v>
      </c>
      <c r="E134" s="796" t="s">
        <v>2224</v>
      </c>
      <c r="F134" s="796" t="s">
        <v>2224</v>
      </c>
      <c r="G134" s="796"/>
      <c r="H134" s="796"/>
      <c r="I134" s="796"/>
      <c r="J134" s="796"/>
      <c r="K134" s="796"/>
      <c r="L134" s="796"/>
      <c r="M134" s="796"/>
      <c r="N134" s="796"/>
      <c r="O134" s="796"/>
      <c r="P134" s="796"/>
      <c r="Q134" s="796"/>
      <c r="R134" s="796"/>
      <c r="S134" s="796" t="s">
        <v>1429</v>
      </c>
      <c r="T134" s="796" t="s">
        <v>2221</v>
      </c>
      <c r="U134" s="796" t="s">
        <v>2221</v>
      </c>
      <c r="V134" s="796"/>
      <c r="W134" s="796"/>
      <c r="X134" s="796"/>
      <c r="Y134" s="796" t="s">
        <v>1430</v>
      </c>
      <c r="Z134" s="796" t="s">
        <v>2221</v>
      </c>
      <c r="AA134" s="796" t="s">
        <v>2221</v>
      </c>
      <c r="AB134" s="796" t="s">
        <v>1431</v>
      </c>
      <c r="AC134" s="796" t="s">
        <v>2221</v>
      </c>
      <c r="AD134" s="796" t="s">
        <v>2221</v>
      </c>
      <c r="AE134" s="796"/>
      <c r="AF134" s="796"/>
      <c r="AG134" s="796"/>
      <c r="AH134" s="796"/>
      <c r="AI134" s="796"/>
      <c r="AJ134" s="796"/>
      <c r="AK134" s="796"/>
      <c r="AL134" s="796"/>
      <c r="AM134" s="796"/>
      <c r="AN134" s="796"/>
      <c r="AO134" s="796"/>
      <c r="AP134" s="796"/>
      <c r="AQ134" s="796"/>
      <c r="AR134" s="796"/>
      <c r="AS134" s="796"/>
      <c r="AT134" s="796"/>
      <c r="AU134" s="796"/>
    </row>
    <row r="135" spans="1:47" ht="13.5">
      <c r="A135" s="796" t="s">
        <v>1432</v>
      </c>
      <c r="B135" s="796" t="s">
        <v>2223</v>
      </c>
      <c r="C135" s="796" t="s">
        <v>2223</v>
      </c>
      <c r="D135" s="796" t="s">
        <v>1433</v>
      </c>
      <c r="E135" s="796" t="s">
        <v>2223</v>
      </c>
      <c r="F135" s="796" t="s">
        <v>2223</v>
      </c>
      <c r="G135" s="796"/>
      <c r="H135" s="796"/>
      <c r="I135" s="796"/>
      <c r="J135" s="796"/>
      <c r="K135" s="796"/>
      <c r="L135" s="796"/>
      <c r="M135" s="796"/>
      <c r="N135" s="796"/>
      <c r="O135" s="796"/>
      <c r="P135" s="796"/>
      <c r="Q135" s="796"/>
      <c r="R135" s="796"/>
      <c r="S135" s="796" t="s">
        <v>1434</v>
      </c>
      <c r="T135" s="796" t="s">
        <v>2222</v>
      </c>
      <c r="U135" s="796" t="s">
        <v>2224</v>
      </c>
      <c r="V135" s="796"/>
      <c r="W135" s="796"/>
      <c r="X135" s="796"/>
      <c r="Y135" s="796" t="s">
        <v>1435</v>
      </c>
      <c r="Z135" s="796" t="s">
        <v>2221</v>
      </c>
      <c r="AA135" s="796" t="s">
        <v>2221</v>
      </c>
      <c r="AB135" s="796" t="s">
        <v>1436</v>
      </c>
      <c r="AC135" s="796" t="s">
        <v>2221</v>
      </c>
      <c r="AD135" s="796" t="s">
        <v>2221</v>
      </c>
      <c r="AE135" s="796"/>
      <c r="AF135" s="796"/>
      <c r="AG135" s="796"/>
      <c r="AH135" s="796"/>
      <c r="AI135" s="796"/>
      <c r="AJ135" s="796"/>
      <c r="AK135" s="796"/>
      <c r="AL135" s="796"/>
      <c r="AM135" s="796"/>
      <c r="AN135" s="796"/>
      <c r="AO135" s="796"/>
      <c r="AP135" s="796"/>
      <c r="AQ135" s="796"/>
      <c r="AR135" s="796"/>
      <c r="AS135" s="796"/>
      <c r="AT135" s="796"/>
      <c r="AU135" s="796"/>
    </row>
    <row r="136" spans="1:47" ht="13.5">
      <c r="A136" s="796" t="s">
        <v>1437</v>
      </c>
      <c r="B136" s="796" t="s">
        <v>2224</v>
      </c>
      <c r="C136" s="796" t="s">
        <v>2224</v>
      </c>
      <c r="D136" s="796" t="s">
        <v>1438</v>
      </c>
      <c r="E136" s="796" t="s">
        <v>2221</v>
      </c>
      <c r="F136" s="796" t="s">
        <v>2221</v>
      </c>
      <c r="G136" s="796"/>
      <c r="H136" s="796"/>
      <c r="I136" s="796"/>
      <c r="J136" s="796"/>
      <c r="K136" s="796"/>
      <c r="L136" s="796"/>
      <c r="M136" s="796"/>
      <c r="N136" s="796"/>
      <c r="O136" s="796"/>
      <c r="P136" s="796"/>
      <c r="Q136" s="796"/>
      <c r="R136" s="796"/>
      <c r="S136" s="796" t="s">
        <v>1439</v>
      </c>
      <c r="T136" s="796" t="s">
        <v>2225</v>
      </c>
      <c r="U136" s="796" t="s">
        <v>2225</v>
      </c>
      <c r="V136" s="796"/>
      <c r="W136" s="796"/>
      <c r="X136" s="796"/>
      <c r="Y136" s="796" t="s">
        <v>1440</v>
      </c>
      <c r="Z136" s="796" t="s">
        <v>2224</v>
      </c>
      <c r="AA136" s="796" t="s">
        <v>2224</v>
      </c>
      <c r="AB136" s="796" t="s">
        <v>1441</v>
      </c>
      <c r="AC136" s="796" t="s">
        <v>2221</v>
      </c>
      <c r="AD136" s="796" t="s">
        <v>2221</v>
      </c>
      <c r="AE136" s="796"/>
      <c r="AF136" s="796"/>
      <c r="AG136" s="796"/>
      <c r="AH136" s="796"/>
      <c r="AI136" s="796"/>
      <c r="AJ136" s="796"/>
      <c r="AK136" s="796"/>
      <c r="AL136" s="796"/>
      <c r="AM136" s="796"/>
      <c r="AN136" s="796"/>
      <c r="AO136" s="796"/>
      <c r="AP136" s="796"/>
      <c r="AQ136" s="796"/>
      <c r="AR136" s="796"/>
      <c r="AS136" s="796"/>
      <c r="AT136" s="796"/>
      <c r="AU136" s="796"/>
    </row>
    <row r="137" spans="1:47" ht="13.5">
      <c r="A137" s="796" t="s">
        <v>1442</v>
      </c>
      <c r="B137" s="796" t="s">
        <v>2221</v>
      </c>
      <c r="C137" s="796" t="s">
        <v>2221</v>
      </c>
      <c r="D137" s="796" t="s">
        <v>1443</v>
      </c>
      <c r="E137" s="796" t="s">
        <v>2224</v>
      </c>
      <c r="F137" s="796" t="s">
        <v>2224</v>
      </c>
      <c r="G137" s="796"/>
      <c r="H137" s="796"/>
      <c r="I137" s="796"/>
      <c r="J137" s="796"/>
      <c r="K137" s="796"/>
      <c r="L137" s="796"/>
      <c r="M137" s="796"/>
      <c r="N137" s="796"/>
      <c r="O137" s="796"/>
      <c r="P137" s="796"/>
      <c r="Q137" s="796"/>
      <c r="R137" s="796"/>
      <c r="S137" s="796" t="s">
        <v>1444</v>
      </c>
      <c r="T137" s="796" t="s">
        <v>2222</v>
      </c>
      <c r="U137" s="796"/>
      <c r="V137" s="796"/>
      <c r="W137" s="796"/>
      <c r="X137" s="796"/>
      <c r="Y137" s="796" t="s">
        <v>1445</v>
      </c>
      <c r="Z137" s="796" t="s">
        <v>2221</v>
      </c>
      <c r="AA137" s="796" t="s">
        <v>2221</v>
      </c>
      <c r="AB137" s="796" t="s">
        <v>1446</v>
      </c>
      <c r="AC137" s="796" t="s">
        <v>2222</v>
      </c>
      <c r="AD137" s="796" t="s">
        <v>2222</v>
      </c>
      <c r="AE137" s="796"/>
      <c r="AF137" s="796"/>
      <c r="AG137" s="796"/>
      <c r="AH137" s="796"/>
      <c r="AI137" s="796"/>
      <c r="AJ137" s="796"/>
      <c r="AK137" s="796"/>
      <c r="AL137" s="796"/>
      <c r="AM137" s="796"/>
      <c r="AN137" s="796"/>
      <c r="AO137" s="796"/>
      <c r="AP137" s="796"/>
      <c r="AQ137" s="796"/>
      <c r="AR137" s="796"/>
      <c r="AS137" s="796"/>
      <c r="AT137" s="796"/>
      <c r="AU137" s="796"/>
    </row>
    <row r="138" spans="1:47" ht="13.5">
      <c r="A138" s="796" t="s">
        <v>1447</v>
      </c>
      <c r="B138" s="796" t="s">
        <v>2221</v>
      </c>
      <c r="C138" s="796" t="s">
        <v>2221</v>
      </c>
      <c r="D138" s="796" t="s">
        <v>1448</v>
      </c>
      <c r="E138" s="796" t="s">
        <v>2221</v>
      </c>
      <c r="F138" s="796" t="s">
        <v>2221</v>
      </c>
      <c r="G138" s="796"/>
      <c r="H138" s="796"/>
      <c r="I138" s="796"/>
      <c r="J138" s="796"/>
      <c r="K138" s="796"/>
      <c r="L138" s="796"/>
      <c r="M138" s="796"/>
      <c r="N138" s="796"/>
      <c r="O138" s="796"/>
      <c r="P138" s="796"/>
      <c r="Q138" s="796"/>
      <c r="R138" s="796"/>
      <c r="S138" s="796" t="s">
        <v>1449</v>
      </c>
      <c r="T138" s="796" t="s">
        <v>2225</v>
      </c>
      <c r="U138" s="796" t="s">
        <v>2225</v>
      </c>
      <c r="V138" s="796"/>
      <c r="W138" s="796"/>
      <c r="X138" s="796"/>
      <c r="Y138" s="796" t="s">
        <v>1450</v>
      </c>
      <c r="Z138" s="796"/>
      <c r="AA138" s="796" t="s">
        <v>2222</v>
      </c>
      <c r="AB138" s="796" t="s">
        <v>1451</v>
      </c>
      <c r="AC138" s="796" t="s">
        <v>2223</v>
      </c>
      <c r="AD138" s="796" t="s">
        <v>2223</v>
      </c>
      <c r="AE138" s="796"/>
      <c r="AF138" s="796"/>
      <c r="AG138" s="796"/>
      <c r="AH138" s="796"/>
      <c r="AI138" s="796"/>
      <c r="AJ138" s="796"/>
      <c r="AK138" s="796"/>
      <c r="AL138" s="796"/>
      <c r="AM138" s="796"/>
      <c r="AN138" s="796"/>
      <c r="AO138" s="796"/>
      <c r="AP138" s="796"/>
      <c r="AQ138" s="796"/>
      <c r="AR138" s="796"/>
      <c r="AS138" s="796"/>
      <c r="AT138" s="796"/>
      <c r="AU138" s="796"/>
    </row>
    <row r="139" spans="1:47" ht="13.5">
      <c r="A139" s="796" t="s">
        <v>1452</v>
      </c>
      <c r="B139" s="796" t="s">
        <v>2221</v>
      </c>
      <c r="C139" s="796" t="s">
        <v>2222</v>
      </c>
      <c r="D139" s="796" t="s">
        <v>1453</v>
      </c>
      <c r="E139" s="796" t="s">
        <v>2226</v>
      </c>
      <c r="F139" s="796" t="s">
        <v>2225</v>
      </c>
      <c r="G139" s="796"/>
      <c r="H139" s="796"/>
      <c r="I139" s="796"/>
      <c r="J139" s="796"/>
      <c r="K139" s="796"/>
      <c r="L139" s="796"/>
      <c r="M139" s="796"/>
      <c r="N139" s="796"/>
      <c r="O139" s="796"/>
      <c r="P139" s="796"/>
      <c r="Q139" s="796"/>
      <c r="R139" s="796"/>
      <c r="S139" s="796" t="s">
        <v>1454</v>
      </c>
      <c r="T139" s="796" t="s">
        <v>2225</v>
      </c>
      <c r="U139" s="796" t="s">
        <v>2225</v>
      </c>
      <c r="V139" s="796"/>
      <c r="W139" s="796"/>
      <c r="X139" s="796"/>
      <c r="Y139" s="796" t="s">
        <v>1455</v>
      </c>
      <c r="Z139" s="796" t="s">
        <v>2224</v>
      </c>
      <c r="AA139" s="796" t="s">
        <v>2224</v>
      </c>
      <c r="AB139" s="796" t="s">
        <v>1456</v>
      </c>
      <c r="AC139" s="796" t="s">
        <v>2221</v>
      </c>
      <c r="AD139" s="796" t="s">
        <v>2221</v>
      </c>
      <c r="AE139" s="796"/>
      <c r="AF139" s="796"/>
      <c r="AG139" s="796"/>
      <c r="AH139" s="796"/>
      <c r="AI139" s="796"/>
      <c r="AJ139" s="796"/>
      <c r="AK139" s="796"/>
      <c r="AL139" s="796"/>
      <c r="AM139" s="796"/>
      <c r="AN139" s="796"/>
      <c r="AO139" s="796"/>
      <c r="AP139" s="796"/>
      <c r="AQ139" s="796"/>
      <c r="AR139" s="796"/>
      <c r="AS139" s="796"/>
      <c r="AT139" s="796"/>
      <c r="AU139" s="796"/>
    </row>
    <row r="140" spans="1:47" ht="13.5">
      <c r="A140" s="796" t="s">
        <v>1457</v>
      </c>
      <c r="B140" s="796" t="s">
        <v>2222</v>
      </c>
      <c r="C140" s="796" t="s">
        <v>2222</v>
      </c>
      <c r="D140" s="796" t="s">
        <v>1458</v>
      </c>
      <c r="E140" s="796" t="s">
        <v>2223</v>
      </c>
      <c r="F140" s="796" t="s">
        <v>2223</v>
      </c>
      <c r="G140" s="796"/>
      <c r="H140" s="796"/>
      <c r="I140" s="796"/>
      <c r="J140" s="796"/>
      <c r="K140" s="796"/>
      <c r="L140" s="796"/>
      <c r="M140" s="796"/>
      <c r="N140" s="796"/>
      <c r="O140" s="796"/>
      <c r="P140" s="796"/>
      <c r="Q140" s="796"/>
      <c r="R140" s="796"/>
      <c r="S140" s="796" t="s">
        <v>1459</v>
      </c>
      <c r="T140" s="796" t="s">
        <v>2224</v>
      </c>
      <c r="U140" s="796" t="s">
        <v>2224</v>
      </c>
      <c r="V140" s="796"/>
      <c r="W140" s="796"/>
      <c r="X140" s="796"/>
      <c r="Y140" s="796" t="s">
        <v>1460</v>
      </c>
      <c r="Z140" s="796" t="s">
        <v>2221</v>
      </c>
      <c r="AA140" s="796" t="s">
        <v>2222</v>
      </c>
      <c r="AB140" s="796" t="s">
        <v>1461</v>
      </c>
      <c r="AC140" s="796" t="s">
        <v>2223</v>
      </c>
      <c r="AD140" s="796" t="s">
        <v>2223</v>
      </c>
      <c r="AE140" s="796"/>
      <c r="AF140" s="796"/>
      <c r="AG140" s="796"/>
      <c r="AH140" s="796"/>
      <c r="AI140" s="796"/>
      <c r="AJ140" s="796"/>
      <c r="AK140" s="796"/>
      <c r="AL140" s="796"/>
      <c r="AM140" s="796"/>
      <c r="AN140" s="796"/>
      <c r="AO140" s="796"/>
      <c r="AP140" s="796"/>
      <c r="AQ140" s="796"/>
      <c r="AR140" s="796"/>
      <c r="AS140" s="796"/>
      <c r="AT140" s="796"/>
      <c r="AU140" s="796"/>
    </row>
    <row r="141" spans="1:47" ht="13.5">
      <c r="A141" s="796" t="s">
        <v>1462</v>
      </c>
      <c r="B141" s="796" t="s">
        <v>2222</v>
      </c>
      <c r="C141" s="796" t="s">
        <v>2222</v>
      </c>
      <c r="D141" s="796" t="s">
        <v>1463</v>
      </c>
      <c r="E141" s="796" t="s">
        <v>2224</v>
      </c>
      <c r="F141" s="796" t="s">
        <v>2225</v>
      </c>
      <c r="G141" s="796"/>
      <c r="H141" s="796"/>
      <c r="I141" s="796"/>
      <c r="J141" s="796"/>
      <c r="K141" s="796"/>
      <c r="L141" s="796"/>
      <c r="M141" s="796"/>
      <c r="N141" s="796"/>
      <c r="O141" s="796"/>
      <c r="P141" s="796"/>
      <c r="Q141" s="796"/>
      <c r="R141" s="796"/>
      <c r="S141" s="796" t="s">
        <v>1464</v>
      </c>
      <c r="T141" s="796" t="s">
        <v>2223</v>
      </c>
      <c r="U141" s="796" t="s">
        <v>2224</v>
      </c>
      <c r="V141" s="796"/>
      <c r="W141" s="796"/>
      <c r="X141" s="796"/>
      <c r="Y141" s="796" t="s">
        <v>1465</v>
      </c>
      <c r="Z141" s="796" t="s">
        <v>2222</v>
      </c>
      <c r="AA141" s="796" t="s">
        <v>2222</v>
      </c>
      <c r="AB141" s="796" t="s">
        <v>1466</v>
      </c>
      <c r="AC141" s="796" t="s">
        <v>2225</v>
      </c>
      <c r="AD141" s="796" t="s">
        <v>2225</v>
      </c>
      <c r="AE141" s="796"/>
      <c r="AF141" s="796"/>
      <c r="AG141" s="796"/>
      <c r="AH141" s="796"/>
      <c r="AI141" s="796"/>
      <c r="AJ141" s="796"/>
      <c r="AK141" s="796"/>
      <c r="AL141" s="796"/>
      <c r="AM141" s="796"/>
      <c r="AN141" s="796"/>
      <c r="AO141" s="796"/>
      <c r="AP141" s="796"/>
      <c r="AQ141" s="796"/>
      <c r="AR141" s="796"/>
      <c r="AS141" s="796"/>
      <c r="AT141" s="796"/>
      <c r="AU141" s="796"/>
    </row>
    <row r="142" spans="1:47" ht="13.5">
      <c r="A142" s="796" t="s">
        <v>1467</v>
      </c>
      <c r="B142" s="796" t="s">
        <v>2222</v>
      </c>
      <c r="C142" s="796" t="s">
        <v>2222</v>
      </c>
      <c r="D142" s="796" t="s">
        <v>1468</v>
      </c>
      <c r="E142" s="796" t="s">
        <v>2222</v>
      </c>
      <c r="F142" s="796" t="s">
        <v>2221</v>
      </c>
      <c r="G142" s="796"/>
      <c r="H142" s="796"/>
      <c r="I142" s="796"/>
      <c r="J142" s="796"/>
      <c r="K142" s="796"/>
      <c r="L142" s="796"/>
      <c r="M142" s="796"/>
      <c r="N142" s="796"/>
      <c r="O142" s="796"/>
      <c r="P142" s="796"/>
      <c r="Q142" s="796"/>
      <c r="R142" s="796"/>
      <c r="S142" s="796" t="s">
        <v>1469</v>
      </c>
      <c r="T142" s="796" t="s">
        <v>2224</v>
      </c>
      <c r="U142" s="796" t="s">
        <v>2224</v>
      </c>
      <c r="V142" s="796"/>
      <c r="W142" s="796"/>
      <c r="X142" s="796"/>
      <c r="Y142" s="796" t="s">
        <v>1470</v>
      </c>
      <c r="Z142" s="796" t="s">
        <v>2222</v>
      </c>
      <c r="AA142" s="796" t="s">
        <v>2222</v>
      </c>
      <c r="AB142" s="796" t="s">
        <v>1471</v>
      </c>
      <c r="AC142" s="796" t="s">
        <v>2222</v>
      </c>
      <c r="AD142" s="796" t="s">
        <v>2222</v>
      </c>
      <c r="AE142" s="796"/>
      <c r="AF142" s="796"/>
      <c r="AG142" s="796"/>
      <c r="AH142" s="796"/>
      <c r="AI142" s="796"/>
      <c r="AJ142" s="796"/>
      <c r="AK142" s="796"/>
      <c r="AL142" s="796"/>
      <c r="AM142" s="796"/>
      <c r="AN142" s="796"/>
      <c r="AO142" s="796"/>
      <c r="AP142" s="796"/>
      <c r="AQ142" s="796"/>
      <c r="AR142" s="796"/>
      <c r="AS142" s="796"/>
      <c r="AT142" s="796"/>
      <c r="AU142" s="796"/>
    </row>
    <row r="143" spans="1:47" ht="13.5">
      <c r="A143" s="796" t="s">
        <v>1472</v>
      </c>
      <c r="B143" s="796" t="s">
        <v>2222</v>
      </c>
      <c r="C143" s="796" t="s">
        <v>2223</v>
      </c>
      <c r="D143" s="796" t="s">
        <v>1473</v>
      </c>
      <c r="E143" s="796" t="s">
        <v>2221</v>
      </c>
      <c r="F143" s="796" t="s">
        <v>2221</v>
      </c>
      <c r="G143" s="796"/>
      <c r="H143" s="796"/>
      <c r="I143" s="796"/>
      <c r="J143" s="796"/>
      <c r="K143" s="796"/>
      <c r="L143" s="796"/>
      <c r="M143" s="796"/>
      <c r="N143" s="796"/>
      <c r="O143" s="796"/>
      <c r="P143" s="796"/>
      <c r="Q143" s="796"/>
      <c r="R143" s="796"/>
      <c r="S143" s="796" t="s">
        <v>1474</v>
      </c>
      <c r="T143" s="796" t="s">
        <v>2221</v>
      </c>
      <c r="U143" s="796" t="s">
        <v>2221</v>
      </c>
      <c r="V143" s="796"/>
      <c r="W143" s="796"/>
      <c r="X143" s="796"/>
      <c r="Y143" s="796" t="s">
        <v>1475</v>
      </c>
      <c r="Z143" s="796" t="s">
        <v>2223</v>
      </c>
      <c r="AA143" s="796" t="s">
        <v>2223</v>
      </c>
      <c r="AB143" s="796" t="s">
        <v>1476</v>
      </c>
      <c r="AC143" s="796" t="s">
        <v>2223</v>
      </c>
      <c r="AD143" s="796" t="s">
        <v>2223</v>
      </c>
      <c r="AE143" s="796"/>
      <c r="AF143" s="796"/>
      <c r="AG143" s="796"/>
      <c r="AH143" s="796"/>
      <c r="AI143" s="796"/>
      <c r="AJ143" s="796"/>
      <c r="AK143" s="796"/>
      <c r="AL143" s="796"/>
      <c r="AM143" s="796"/>
      <c r="AN143" s="796"/>
      <c r="AO143" s="796"/>
      <c r="AP143" s="796"/>
      <c r="AQ143" s="796"/>
      <c r="AR143" s="796"/>
      <c r="AS143" s="796"/>
      <c r="AT143" s="796"/>
      <c r="AU143" s="796"/>
    </row>
    <row r="144" spans="1:47" ht="13.5">
      <c r="A144" s="796" t="s">
        <v>1477</v>
      </c>
      <c r="B144" s="796" t="s">
        <v>2222</v>
      </c>
      <c r="C144" s="796" t="s">
        <v>2222</v>
      </c>
      <c r="D144" s="796" t="s">
        <v>1478</v>
      </c>
      <c r="E144" s="796" t="s">
        <v>2221</v>
      </c>
      <c r="F144" s="796" t="s">
        <v>2221</v>
      </c>
      <c r="G144" s="796"/>
      <c r="H144" s="796"/>
      <c r="I144" s="796"/>
      <c r="J144" s="796"/>
      <c r="K144" s="796"/>
      <c r="L144" s="796"/>
      <c r="M144" s="796"/>
      <c r="N144" s="796"/>
      <c r="O144" s="796"/>
      <c r="P144" s="796"/>
      <c r="Q144" s="796"/>
      <c r="R144" s="796"/>
      <c r="S144" s="796" t="s">
        <v>1479</v>
      </c>
      <c r="T144" s="796" t="s">
        <v>2226</v>
      </c>
      <c r="U144" s="796" t="s">
        <v>2226</v>
      </c>
      <c r="V144" s="796"/>
      <c r="W144" s="796"/>
      <c r="X144" s="796"/>
      <c r="Y144" s="796" t="s">
        <v>1480</v>
      </c>
      <c r="Z144" s="796" t="s">
        <v>2222</v>
      </c>
      <c r="AA144" s="796" t="s">
        <v>2222</v>
      </c>
      <c r="AB144" s="796" t="s">
        <v>1481</v>
      </c>
      <c r="AC144" s="796" t="s">
        <v>2222</v>
      </c>
      <c r="AD144" s="796" t="s">
        <v>2222</v>
      </c>
      <c r="AE144" s="796"/>
      <c r="AF144" s="796"/>
      <c r="AG144" s="796"/>
      <c r="AH144" s="796"/>
      <c r="AI144" s="796"/>
      <c r="AJ144" s="796"/>
      <c r="AK144" s="796"/>
      <c r="AL144" s="796"/>
      <c r="AM144" s="796"/>
      <c r="AN144" s="796"/>
      <c r="AO144" s="796"/>
      <c r="AP144" s="796"/>
      <c r="AQ144" s="796"/>
      <c r="AR144" s="796"/>
      <c r="AS144" s="796"/>
      <c r="AT144" s="796"/>
      <c r="AU144" s="796"/>
    </row>
    <row r="145" spans="1:47" ht="13.5">
      <c r="A145" s="796" t="s">
        <v>1482</v>
      </c>
      <c r="B145" s="796" t="s">
        <v>2222</v>
      </c>
      <c r="C145" s="796" t="s">
        <v>2223</v>
      </c>
      <c r="D145" s="796" t="s">
        <v>1483</v>
      </c>
      <c r="E145" s="796" t="s">
        <v>2221</v>
      </c>
      <c r="F145" s="796" t="s">
        <v>2221</v>
      </c>
      <c r="G145" s="796"/>
      <c r="H145" s="796"/>
      <c r="I145" s="796"/>
      <c r="J145" s="796"/>
      <c r="K145" s="796"/>
      <c r="L145" s="796"/>
      <c r="M145" s="796"/>
      <c r="N145" s="796"/>
      <c r="O145" s="796"/>
      <c r="P145" s="796"/>
      <c r="Q145" s="796"/>
      <c r="R145" s="796"/>
      <c r="S145" s="796" t="s">
        <v>1484</v>
      </c>
      <c r="T145" s="796" t="s">
        <v>2221</v>
      </c>
      <c r="U145" s="796" t="s">
        <v>2221</v>
      </c>
      <c r="V145" s="796"/>
      <c r="W145" s="796"/>
      <c r="X145" s="796"/>
      <c r="Y145" s="796" t="s">
        <v>1485</v>
      </c>
      <c r="Z145" s="796" t="s">
        <v>2223</v>
      </c>
      <c r="AA145" s="796" t="s">
        <v>2223</v>
      </c>
      <c r="AB145" s="796" t="s">
        <v>1486</v>
      </c>
      <c r="AC145" s="796" t="s">
        <v>2222</v>
      </c>
      <c r="AD145" s="796" t="s">
        <v>2223</v>
      </c>
      <c r="AE145" s="796"/>
      <c r="AF145" s="796"/>
      <c r="AG145" s="796"/>
      <c r="AH145" s="796"/>
      <c r="AI145" s="796"/>
      <c r="AJ145" s="796"/>
      <c r="AK145" s="796"/>
      <c r="AL145" s="796"/>
      <c r="AM145" s="796"/>
      <c r="AN145" s="796"/>
      <c r="AO145" s="796"/>
      <c r="AP145" s="796"/>
      <c r="AQ145" s="796"/>
      <c r="AR145" s="796"/>
      <c r="AS145" s="796"/>
      <c r="AT145" s="796"/>
      <c r="AU145" s="796"/>
    </row>
    <row r="146" spans="1:47" ht="13.5">
      <c r="A146" s="796" t="s">
        <v>1487</v>
      </c>
      <c r="B146" s="796" t="s">
        <v>2221</v>
      </c>
      <c r="C146" s="796" t="s">
        <v>2221</v>
      </c>
      <c r="D146" s="796" t="s">
        <v>1488</v>
      </c>
      <c r="E146" s="796" t="s">
        <v>2221</v>
      </c>
      <c r="F146" s="796" t="s">
        <v>2221</v>
      </c>
      <c r="G146" s="796"/>
      <c r="H146" s="796"/>
      <c r="I146" s="796"/>
      <c r="J146" s="796"/>
      <c r="K146" s="796"/>
      <c r="L146" s="796"/>
      <c r="M146" s="796"/>
      <c r="N146" s="796"/>
      <c r="O146" s="796"/>
      <c r="P146" s="796"/>
      <c r="Q146" s="796"/>
      <c r="R146" s="796"/>
      <c r="S146" s="796" t="s">
        <v>1489</v>
      </c>
      <c r="T146" s="796" t="s">
        <v>2223</v>
      </c>
      <c r="U146" s="796" t="s">
        <v>2223</v>
      </c>
      <c r="V146" s="796"/>
      <c r="W146" s="796"/>
      <c r="X146" s="796"/>
      <c r="Y146" s="796" t="s">
        <v>1490</v>
      </c>
      <c r="Z146" s="796" t="s">
        <v>2221</v>
      </c>
      <c r="AA146" s="796" t="s">
        <v>2221</v>
      </c>
      <c r="AB146" s="796" t="s">
        <v>1491</v>
      </c>
      <c r="AC146" s="796" t="s">
        <v>2223</v>
      </c>
      <c r="AD146" s="796" t="s">
        <v>2223</v>
      </c>
      <c r="AE146" s="796"/>
      <c r="AF146" s="796"/>
      <c r="AG146" s="796"/>
      <c r="AH146" s="796"/>
      <c r="AI146" s="796"/>
      <c r="AJ146" s="796"/>
      <c r="AK146" s="796"/>
      <c r="AL146" s="796"/>
      <c r="AM146" s="796"/>
      <c r="AN146" s="796"/>
      <c r="AO146" s="796"/>
      <c r="AP146" s="796"/>
      <c r="AQ146" s="796"/>
      <c r="AR146" s="796"/>
      <c r="AS146" s="796"/>
      <c r="AT146" s="796"/>
      <c r="AU146" s="796"/>
    </row>
    <row r="147" spans="1:47" ht="13.5">
      <c r="A147" s="796" t="s">
        <v>1492</v>
      </c>
      <c r="B147" s="796" t="s">
        <v>2221</v>
      </c>
      <c r="C147" s="796" t="s">
        <v>2221</v>
      </c>
      <c r="D147" s="796" t="s">
        <v>1493</v>
      </c>
      <c r="E147" s="796" t="s">
        <v>2221</v>
      </c>
      <c r="F147" s="796" t="s">
        <v>2221</v>
      </c>
      <c r="G147" s="796"/>
      <c r="H147" s="796"/>
      <c r="I147" s="796"/>
      <c r="J147" s="796"/>
      <c r="K147" s="796"/>
      <c r="L147" s="796"/>
      <c r="M147" s="796"/>
      <c r="N147" s="796"/>
      <c r="O147" s="796"/>
      <c r="P147" s="796"/>
      <c r="Q147" s="796"/>
      <c r="R147" s="796"/>
      <c r="S147" s="796" t="s">
        <v>1494</v>
      </c>
      <c r="T147" s="796" t="s">
        <v>2224</v>
      </c>
      <c r="U147" s="796" t="s">
        <v>2225</v>
      </c>
      <c r="V147" s="796"/>
      <c r="W147" s="796"/>
      <c r="X147" s="796"/>
      <c r="Y147" s="796" t="s">
        <v>1495</v>
      </c>
      <c r="Z147" s="796" t="s">
        <v>2221</v>
      </c>
      <c r="AA147" s="796" t="s">
        <v>2222</v>
      </c>
      <c r="AB147" s="796" t="s">
        <v>1496</v>
      </c>
      <c r="AC147" s="796" t="s">
        <v>2223</v>
      </c>
      <c r="AD147" s="796" t="s">
        <v>2223</v>
      </c>
      <c r="AE147" s="796"/>
      <c r="AF147" s="796"/>
      <c r="AG147" s="796"/>
      <c r="AH147" s="796"/>
      <c r="AI147" s="796"/>
      <c r="AJ147" s="796"/>
      <c r="AK147" s="796"/>
      <c r="AL147" s="796"/>
      <c r="AM147" s="796"/>
      <c r="AN147" s="796"/>
      <c r="AO147" s="796"/>
      <c r="AP147" s="796"/>
      <c r="AQ147" s="796"/>
      <c r="AR147" s="796"/>
      <c r="AS147" s="796"/>
      <c r="AT147" s="796"/>
      <c r="AU147" s="796"/>
    </row>
    <row r="148" spans="1:47" ht="13.5">
      <c r="A148" s="796" t="s">
        <v>1497</v>
      </c>
      <c r="B148" s="796" t="s">
        <v>2222</v>
      </c>
      <c r="C148" s="796" t="s">
        <v>2222</v>
      </c>
      <c r="D148" s="796" t="s">
        <v>1498</v>
      </c>
      <c r="E148" s="796" t="s">
        <v>2221</v>
      </c>
      <c r="F148" s="796" t="s">
        <v>2221</v>
      </c>
      <c r="G148" s="796"/>
      <c r="H148" s="796"/>
      <c r="I148" s="796"/>
      <c r="J148" s="796"/>
      <c r="K148" s="796"/>
      <c r="L148" s="796"/>
      <c r="M148" s="796"/>
      <c r="N148" s="796"/>
      <c r="O148" s="796"/>
      <c r="P148" s="796"/>
      <c r="Q148" s="796"/>
      <c r="R148" s="796"/>
      <c r="S148" s="796" t="s">
        <v>1499</v>
      </c>
      <c r="T148" s="796" t="s">
        <v>2222</v>
      </c>
      <c r="U148" s="796" t="s">
        <v>2223</v>
      </c>
      <c r="V148" s="796"/>
      <c r="W148" s="796"/>
      <c r="X148" s="796"/>
      <c r="Y148" s="796" t="s">
        <v>1500</v>
      </c>
      <c r="Z148" s="796" t="s">
        <v>2221</v>
      </c>
      <c r="AA148" s="796" t="s">
        <v>2221</v>
      </c>
      <c r="AB148" s="796" t="s">
        <v>1501</v>
      </c>
      <c r="AC148" s="796" t="s">
        <v>2225</v>
      </c>
      <c r="AD148" s="796" t="s">
        <v>2225</v>
      </c>
      <c r="AE148" s="796"/>
      <c r="AF148" s="796"/>
      <c r="AG148" s="796"/>
      <c r="AH148" s="796"/>
      <c r="AI148" s="796"/>
      <c r="AJ148" s="796"/>
      <c r="AK148" s="796"/>
      <c r="AL148" s="796"/>
      <c r="AM148" s="796"/>
      <c r="AN148" s="796"/>
      <c r="AO148" s="796"/>
      <c r="AP148" s="796"/>
      <c r="AQ148" s="796"/>
      <c r="AR148" s="796"/>
      <c r="AS148" s="796"/>
      <c r="AT148" s="796"/>
      <c r="AU148" s="796"/>
    </row>
    <row r="149" spans="1:47" ht="13.5">
      <c r="A149" s="796" t="s">
        <v>1502</v>
      </c>
      <c r="B149" s="796" t="s">
        <v>2221</v>
      </c>
      <c r="C149" s="796" t="s">
        <v>2221</v>
      </c>
      <c r="D149" s="796" t="s">
        <v>1503</v>
      </c>
      <c r="E149" s="796" t="s">
        <v>2223</v>
      </c>
      <c r="F149" s="796" t="s">
        <v>2223</v>
      </c>
      <c r="G149" s="796"/>
      <c r="H149" s="796"/>
      <c r="I149" s="796"/>
      <c r="J149" s="796"/>
      <c r="K149" s="796"/>
      <c r="L149" s="796"/>
      <c r="M149" s="796"/>
      <c r="N149" s="796"/>
      <c r="O149" s="796"/>
      <c r="P149" s="796"/>
      <c r="Q149" s="796"/>
      <c r="R149" s="796"/>
      <c r="S149" s="796" t="s">
        <v>1504</v>
      </c>
      <c r="T149" s="796" t="s">
        <v>2224</v>
      </c>
      <c r="U149" s="796" t="s">
        <v>2225</v>
      </c>
      <c r="V149" s="796"/>
      <c r="W149" s="796"/>
      <c r="X149" s="796"/>
      <c r="Y149" s="796" t="s">
        <v>1505</v>
      </c>
      <c r="Z149" s="796" t="s">
        <v>2221</v>
      </c>
      <c r="AA149" s="796" t="s">
        <v>2222</v>
      </c>
      <c r="AB149" s="796" t="s">
        <v>1506</v>
      </c>
      <c r="AC149" s="796" t="s">
        <v>2222</v>
      </c>
      <c r="AD149" s="796" t="s">
        <v>2222</v>
      </c>
      <c r="AE149" s="796"/>
      <c r="AF149" s="796"/>
      <c r="AG149" s="796"/>
      <c r="AH149" s="796"/>
      <c r="AI149" s="796"/>
      <c r="AJ149" s="796"/>
      <c r="AK149" s="796"/>
      <c r="AL149" s="796"/>
      <c r="AM149" s="796"/>
      <c r="AN149" s="796"/>
      <c r="AO149" s="796"/>
      <c r="AP149" s="796"/>
      <c r="AQ149" s="796"/>
      <c r="AR149" s="796"/>
      <c r="AS149" s="796"/>
      <c r="AT149" s="796"/>
      <c r="AU149" s="796"/>
    </row>
    <row r="150" spans="1:47" ht="13.5">
      <c r="A150" s="796" t="s">
        <v>1507</v>
      </c>
      <c r="B150" s="796" t="s">
        <v>2224</v>
      </c>
      <c r="C150" s="796" t="s">
        <v>2224</v>
      </c>
      <c r="D150" s="796" t="s">
        <v>1508</v>
      </c>
      <c r="E150" s="796" t="s">
        <v>2221</v>
      </c>
      <c r="F150" s="796" t="s">
        <v>2221</v>
      </c>
      <c r="G150" s="796"/>
      <c r="H150" s="796"/>
      <c r="I150" s="796"/>
      <c r="J150" s="796"/>
      <c r="K150" s="796"/>
      <c r="L150" s="796"/>
      <c r="M150" s="796"/>
      <c r="N150" s="796"/>
      <c r="O150" s="796"/>
      <c r="P150" s="796"/>
      <c r="Q150" s="796"/>
      <c r="R150" s="796"/>
      <c r="S150" s="796" t="s">
        <v>1509</v>
      </c>
      <c r="T150" s="796" t="s">
        <v>2224</v>
      </c>
      <c r="U150" s="796" t="s">
        <v>2225</v>
      </c>
      <c r="V150" s="796"/>
      <c r="W150" s="796"/>
      <c r="X150" s="796"/>
      <c r="Y150" s="796" t="s">
        <v>1510</v>
      </c>
      <c r="Z150" s="796" t="s">
        <v>2225</v>
      </c>
      <c r="AA150" s="796" t="s">
        <v>2225</v>
      </c>
      <c r="AB150" s="796" t="s">
        <v>1511</v>
      </c>
      <c r="AC150" s="796" t="s">
        <v>2222</v>
      </c>
      <c r="AD150" s="796" t="s">
        <v>2222</v>
      </c>
      <c r="AE150" s="796"/>
      <c r="AF150" s="796"/>
      <c r="AG150" s="796"/>
      <c r="AH150" s="796"/>
      <c r="AI150" s="796"/>
      <c r="AJ150" s="796"/>
      <c r="AK150" s="796"/>
      <c r="AL150" s="796"/>
      <c r="AM150" s="796"/>
      <c r="AN150" s="796"/>
      <c r="AO150" s="796"/>
      <c r="AP150" s="796"/>
      <c r="AQ150" s="796"/>
      <c r="AR150" s="796"/>
      <c r="AS150" s="796"/>
      <c r="AT150" s="796"/>
      <c r="AU150" s="796"/>
    </row>
    <row r="151" spans="1:47" ht="13.5">
      <c r="A151" s="796" t="s">
        <v>1512</v>
      </c>
      <c r="B151" s="796" t="s">
        <v>2221</v>
      </c>
      <c r="C151" s="796" t="s">
        <v>2222</v>
      </c>
      <c r="D151" s="796" t="s">
        <v>1513</v>
      </c>
      <c r="E151" s="796" t="s">
        <v>2221</v>
      </c>
      <c r="F151" s="796" t="s">
        <v>2221</v>
      </c>
      <c r="G151" s="796"/>
      <c r="H151" s="796"/>
      <c r="I151" s="796"/>
      <c r="J151" s="796"/>
      <c r="K151" s="796"/>
      <c r="L151" s="796"/>
      <c r="M151" s="796"/>
      <c r="N151" s="796"/>
      <c r="O151" s="796"/>
      <c r="P151" s="796"/>
      <c r="Q151" s="796"/>
      <c r="R151" s="796"/>
      <c r="S151" s="796" t="s">
        <v>1514</v>
      </c>
      <c r="T151" s="796" t="s">
        <v>2226</v>
      </c>
      <c r="U151" s="796" t="s">
        <v>2226</v>
      </c>
      <c r="V151" s="796"/>
      <c r="W151" s="796"/>
      <c r="X151" s="796"/>
      <c r="Y151" s="796" t="s">
        <v>1515</v>
      </c>
      <c r="Z151" s="796" t="s">
        <v>2221</v>
      </c>
      <c r="AA151" s="796" t="s">
        <v>2221</v>
      </c>
      <c r="AB151" s="796" t="s">
        <v>1516</v>
      </c>
      <c r="AC151" s="796" t="s">
        <v>2221</v>
      </c>
      <c r="AD151" s="796" t="s">
        <v>2221</v>
      </c>
      <c r="AE151" s="796"/>
      <c r="AF151" s="796"/>
      <c r="AG151" s="796"/>
      <c r="AH151" s="796"/>
      <c r="AI151" s="796"/>
      <c r="AJ151" s="796"/>
      <c r="AK151" s="796"/>
      <c r="AL151" s="796"/>
      <c r="AM151" s="796"/>
      <c r="AN151" s="796"/>
      <c r="AO151" s="796"/>
      <c r="AP151" s="796"/>
      <c r="AQ151" s="796"/>
      <c r="AR151" s="796"/>
      <c r="AS151" s="796"/>
      <c r="AT151" s="796"/>
      <c r="AU151" s="796"/>
    </row>
    <row r="152" spans="1:47" ht="13.5">
      <c r="A152" s="796" t="s">
        <v>1517</v>
      </c>
      <c r="B152" s="796" t="s">
        <v>2222</v>
      </c>
      <c r="C152" s="796" t="s">
        <v>2222</v>
      </c>
      <c r="D152" s="796" t="s">
        <v>1518</v>
      </c>
      <c r="E152" s="796" t="s">
        <v>2222</v>
      </c>
      <c r="F152" s="796" t="s">
        <v>2221</v>
      </c>
      <c r="G152" s="796"/>
      <c r="H152" s="796"/>
      <c r="I152" s="796"/>
      <c r="J152" s="796"/>
      <c r="K152" s="796"/>
      <c r="L152" s="796"/>
      <c r="M152" s="796"/>
      <c r="N152" s="796"/>
      <c r="O152" s="796"/>
      <c r="P152" s="796"/>
      <c r="Q152" s="796"/>
      <c r="R152" s="796"/>
      <c r="S152" s="796" t="s">
        <v>1519</v>
      </c>
      <c r="T152" s="796" t="s">
        <v>2221</v>
      </c>
      <c r="U152" s="796"/>
      <c r="V152" s="796"/>
      <c r="W152" s="796"/>
      <c r="X152" s="796"/>
      <c r="Y152" s="796" t="s">
        <v>1520</v>
      </c>
      <c r="Z152" s="796" t="s">
        <v>2221</v>
      </c>
      <c r="AA152" s="796" t="s">
        <v>2221</v>
      </c>
      <c r="AB152" s="796" t="s">
        <v>1521</v>
      </c>
      <c r="AC152" s="796" t="s">
        <v>2223</v>
      </c>
      <c r="AD152" s="796" t="s">
        <v>2223</v>
      </c>
      <c r="AE152" s="796"/>
      <c r="AF152" s="796"/>
      <c r="AG152" s="796"/>
      <c r="AH152" s="796"/>
      <c r="AI152" s="796"/>
      <c r="AJ152" s="796"/>
      <c r="AK152" s="796"/>
      <c r="AL152" s="796"/>
      <c r="AM152" s="796"/>
      <c r="AN152" s="796"/>
      <c r="AO152" s="796"/>
      <c r="AP152" s="796"/>
      <c r="AQ152" s="796"/>
      <c r="AR152" s="796"/>
      <c r="AS152" s="796"/>
      <c r="AT152" s="796"/>
      <c r="AU152" s="796"/>
    </row>
    <row r="153" spans="1:47" ht="13.5">
      <c r="A153" s="796" t="s">
        <v>1522</v>
      </c>
      <c r="B153" s="796" t="s">
        <v>2221</v>
      </c>
      <c r="C153" s="796" t="s">
        <v>2221</v>
      </c>
      <c r="D153" s="796" t="s">
        <v>1523</v>
      </c>
      <c r="E153" s="796" t="s">
        <v>2221</v>
      </c>
      <c r="F153" s="796" t="s">
        <v>2221</v>
      </c>
      <c r="G153" s="796"/>
      <c r="H153" s="796"/>
      <c r="I153" s="796"/>
      <c r="J153" s="796"/>
      <c r="K153" s="796"/>
      <c r="L153" s="796"/>
      <c r="M153" s="796"/>
      <c r="N153" s="796"/>
      <c r="O153" s="796"/>
      <c r="P153" s="796"/>
      <c r="Q153" s="796"/>
      <c r="R153" s="796"/>
      <c r="S153" s="796" t="s">
        <v>1524</v>
      </c>
      <c r="T153" s="796" t="s">
        <v>2224</v>
      </c>
      <c r="U153" s="796" t="s">
        <v>2225</v>
      </c>
      <c r="V153" s="796"/>
      <c r="W153" s="796"/>
      <c r="X153" s="796"/>
      <c r="Y153" s="796" t="s">
        <v>1525</v>
      </c>
      <c r="Z153" s="796" t="s">
        <v>2221</v>
      </c>
      <c r="AA153" s="796" t="s">
        <v>2221</v>
      </c>
      <c r="AB153" s="796" t="s">
        <v>1526</v>
      </c>
      <c r="AC153" s="796" t="s">
        <v>2223</v>
      </c>
      <c r="AD153" s="796" t="s">
        <v>2223</v>
      </c>
      <c r="AE153" s="796"/>
      <c r="AF153" s="796"/>
      <c r="AG153" s="796"/>
      <c r="AH153" s="796"/>
      <c r="AI153" s="796"/>
      <c r="AJ153" s="796"/>
      <c r="AK153" s="796"/>
      <c r="AL153" s="796"/>
      <c r="AM153" s="796"/>
      <c r="AN153" s="796"/>
      <c r="AO153" s="796"/>
      <c r="AP153" s="796"/>
      <c r="AQ153" s="796"/>
      <c r="AR153" s="796"/>
      <c r="AS153" s="796"/>
      <c r="AT153" s="796"/>
      <c r="AU153" s="796"/>
    </row>
    <row r="154" spans="1:47" ht="13.5">
      <c r="A154" s="796" t="s">
        <v>1527</v>
      </c>
      <c r="B154" s="796" t="s">
        <v>2222</v>
      </c>
      <c r="C154" s="796" t="s">
        <v>2222</v>
      </c>
      <c r="D154" s="796" t="s">
        <v>1528</v>
      </c>
      <c r="E154" s="796" t="s">
        <v>2224</v>
      </c>
      <c r="F154" s="796" t="s">
        <v>2224</v>
      </c>
      <c r="G154" s="796"/>
      <c r="H154" s="796"/>
      <c r="I154" s="796"/>
      <c r="J154" s="796"/>
      <c r="K154" s="796"/>
      <c r="L154" s="796"/>
      <c r="M154" s="796"/>
      <c r="N154" s="796"/>
      <c r="O154" s="796"/>
      <c r="P154" s="796"/>
      <c r="Q154" s="796"/>
      <c r="R154" s="796"/>
      <c r="S154" s="796" t="s">
        <v>1529</v>
      </c>
      <c r="T154" s="796" t="s">
        <v>2226</v>
      </c>
      <c r="U154" s="796" t="s">
        <v>2226</v>
      </c>
      <c r="V154" s="796"/>
      <c r="W154" s="796"/>
      <c r="X154" s="796"/>
      <c r="Y154" s="796" t="s">
        <v>1530</v>
      </c>
      <c r="Z154" s="796" t="s">
        <v>2222</v>
      </c>
      <c r="AA154" s="796" t="s">
        <v>2222</v>
      </c>
      <c r="AB154" s="796" t="s">
        <v>1531</v>
      </c>
      <c r="AC154" s="796" t="s">
        <v>2223</v>
      </c>
      <c r="AD154" s="796" t="s">
        <v>2223</v>
      </c>
      <c r="AE154" s="796"/>
      <c r="AF154" s="796"/>
      <c r="AG154" s="796"/>
      <c r="AH154" s="796"/>
      <c r="AI154" s="796"/>
      <c r="AJ154" s="796"/>
      <c r="AK154" s="796"/>
      <c r="AL154" s="796"/>
      <c r="AM154" s="796"/>
      <c r="AN154" s="796"/>
      <c r="AO154" s="796"/>
      <c r="AP154" s="796"/>
      <c r="AQ154" s="796"/>
      <c r="AR154" s="796"/>
      <c r="AS154" s="796"/>
      <c r="AT154" s="796"/>
      <c r="AU154" s="796"/>
    </row>
    <row r="155" spans="1:47" ht="13.5">
      <c r="A155" s="796" t="s">
        <v>1532</v>
      </c>
      <c r="B155" s="796" t="s">
        <v>2223</v>
      </c>
      <c r="C155" s="796" t="s">
        <v>2224</v>
      </c>
      <c r="D155" s="796" t="s">
        <v>1533</v>
      </c>
      <c r="E155" s="796" t="s">
        <v>2221</v>
      </c>
      <c r="F155" s="796" t="s">
        <v>2222</v>
      </c>
      <c r="G155" s="796"/>
      <c r="H155" s="796"/>
      <c r="I155" s="796"/>
      <c r="J155" s="796"/>
      <c r="K155" s="796"/>
      <c r="L155" s="796"/>
      <c r="M155" s="796"/>
      <c r="N155" s="796"/>
      <c r="O155" s="796"/>
      <c r="P155" s="796"/>
      <c r="Q155" s="796"/>
      <c r="R155" s="796"/>
      <c r="S155" s="796" t="s">
        <v>1534</v>
      </c>
      <c r="T155" s="796" t="s">
        <v>2221</v>
      </c>
      <c r="U155" s="796" t="s">
        <v>2222</v>
      </c>
      <c r="V155" s="796"/>
      <c r="W155" s="796"/>
      <c r="X155" s="796"/>
      <c r="Y155" s="796" t="s">
        <v>1535</v>
      </c>
      <c r="Z155" s="796" t="s">
        <v>2225</v>
      </c>
      <c r="AA155" s="796" t="s">
        <v>2225</v>
      </c>
      <c r="AB155" s="796" t="s">
        <v>1536</v>
      </c>
      <c r="AC155" s="796" t="s">
        <v>2222</v>
      </c>
      <c r="AD155" s="796" t="s">
        <v>2223</v>
      </c>
      <c r="AE155" s="796"/>
      <c r="AF155" s="796"/>
      <c r="AG155" s="796"/>
      <c r="AH155" s="796"/>
      <c r="AI155" s="796"/>
      <c r="AJ155" s="796"/>
      <c r="AK155" s="796"/>
      <c r="AL155" s="796"/>
      <c r="AM155" s="796"/>
      <c r="AN155" s="796"/>
      <c r="AO155" s="796"/>
      <c r="AP155" s="796"/>
      <c r="AQ155" s="796"/>
      <c r="AR155" s="796"/>
      <c r="AS155" s="796"/>
      <c r="AT155" s="796"/>
      <c r="AU155" s="796"/>
    </row>
    <row r="156" spans="1:47" ht="13.5">
      <c r="A156" s="796" t="s">
        <v>1537</v>
      </c>
      <c r="B156" s="796" t="s">
        <v>2222</v>
      </c>
      <c r="C156" s="796" t="s">
        <v>2223</v>
      </c>
      <c r="D156" s="796" t="s">
        <v>1538</v>
      </c>
      <c r="E156" s="796" t="s">
        <v>2221</v>
      </c>
      <c r="F156" s="796" t="s">
        <v>2222</v>
      </c>
      <c r="G156" s="796"/>
      <c r="H156" s="796"/>
      <c r="I156" s="796"/>
      <c r="J156" s="796"/>
      <c r="K156" s="796"/>
      <c r="L156" s="796"/>
      <c r="M156" s="796"/>
      <c r="N156" s="796"/>
      <c r="O156" s="796"/>
      <c r="P156" s="796"/>
      <c r="Q156" s="796"/>
      <c r="R156" s="796"/>
      <c r="S156" s="796" t="s">
        <v>1539</v>
      </c>
      <c r="T156" s="796" t="s">
        <v>2224</v>
      </c>
      <c r="U156" s="796" t="s">
        <v>2225</v>
      </c>
      <c r="V156" s="796"/>
      <c r="W156" s="796"/>
      <c r="X156" s="796"/>
      <c r="Y156" s="796" t="s">
        <v>1540</v>
      </c>
      <c r="Z156" s="796" t="s">
        <v>2222</v>
      </c>
      <c r="AA156" s="796" t="s">
        <v>2222</v>
      </c>
      <c r="AB156" s="796" t="s">
        <v>1541</v>
      </c>
      <c r="AC156" s="796" t="s">
        <v>2224</v>
      </c>
      <c r="AD156" s="796" t="s">
        <v>2224</v>
      </c>
      <c r="AE156" s="796"/>
      <c r="AF156" s="796"/>
      <c r="AG156" s="796"/>
      <c r="AH156" s="796"/>
      <c r="AI156" s="796"/>
      <c r="AJ156" s="796"/>
      <c r="AK156" s="796"/>
      <c r="AL156" s="796"/>
      <c r="AM156" s="796"/>
      <c r="AN156" s="796"/>
      <c r="AO156" s="796"/>
      <c r="AP156" s="796"/>
      <c r="AQ156" s="796"/>
      <c r="AR156" s="796"/>
      <c r="AS156" s="796"/>
      <c r="AT156" s="796"/>
      <c r="AU156" s="796"/>
    </row>
    <row r="157" spans="1:47" ht="13.5">
      <c r="A157" s="796" t="s">
        <v>1542</v>
      </c>
      <c r="B157" s="796" t="s">
        <v>2222</v>
      </c>
      <c r="C157" s="796" t="s">
        <v>2222</v>
      </c>
      <c r="D157" s="796" t="s">
        <v>1543</v>
      </c>
      <c r="E157" s="796" t="s">
        <v>2427</v>
      </c>
      <c r="F157" s="796" t="s">
        <v>2226</v>
      </c>
      <c r="G157" s="796"/>
      <c r="H157" s="796"/>
      <c r="I157" s="796"/>
      <c r="J157" s="796"/>
      <c r="K157" s="796"/>
      <c r="L157" s="796"/>
      <c r="M157" s="796"/>
      <c r="N157" s="796"/>
      <c r="O157" s="796"/>
      <c r="P157" s="796"/>
      <c r="Q157" s="796"/>
      <c r="R157" s="796"/>
      <c r="S157" s="796" t="s">
        <v>1544</v>
      </c>
      <c r="T157" s="796" t="s">
        <v>2222</v>
      </c>
      <c r="U157" s="796" t="s">
        <v>2222</v>
      </c>
      <c r="V157" s="796"/>
      <c r="W157" s="796"/>
      <c r="X157" s="796"/>
      <c r="Y157" s="796" t="s">
        <v>1545</v>
      </c>
      <c r="Z157" s="796" t="s">
        <v>2222</v>
      </c>
      <c r="AA157" s="796" t="s">
        <v>2222</v>
      </c>
      <c r="AB157" s="796" t="s">
        <v>1546</v>
      </c>
      <c r="AC157" s="796" t="s">
        <v>2222</v>
      </c>
      <c r="AD157" s="796" t="s">
        <v>2222</v>
      </c>
      <c r="AE157" s="796"/>
      <c r="AF157" s="796"/>
      <c r="AG157" s="796"/>
      <c r="AH157" s="796"/>
      <c r="AI157" s="796"/>
      <c r="AJ157" s="796"/>
      <c r="AK157" s="796"/>
      <c r="AL157" s="796"/>
      <c r="AM157" s="796"/>
      <c r="AN157" s="796"/>
      <c r="AO157" s="796"/>
      <c r="AP157" s="796"/>
      <c r="AQ157" s="796"/>
      <c r="AR157" s="796"/>
      <c r="AS157" s="796"/>
      <c r="AT157" s="796"/>
      <c r="AU157" s="796"/>
    </row>
    <row r="158" spans="1:47" ht="13.5">
      <c r="A158" s="796" t="s">
        <v>1547</v>
      </c>
      <c r="B158" s="796" t="s">
        <v>2223</v>
      </c>
      <c r="C158" s="796" t="s">
        <v>2223</v>
      </c>
      <c r="D158" s="796" t="s">
        <v>1548</v>
      </c>
      <c r="E158" s="796" t="s">
        <v>2221</v>
      </c>
      <c r="F158" s="796" t="s">
        <v>2221</v>
      </c>
      <c r="G158" s="796"/>
      <c r="H158" s="796"/>
      <c r="I158" s="796"/>
      <c r="J158" s="796"/>
      <c r="K158" s="796"/>
      <c r="L158" s="796"/>
      <c r="M158" s="796"/>
      <c r="N158" s="796"/>
      <c r="O158" s="796"/>
      <c r="P158" s="796"/>
      <c r="Q158" s="796"/>
      <c r="R158" s="796"/>
      <c r="S158" s="796" t="s">
        <v>1549</v>
      </c>
      <c r="T158" s="796" t="s">
        <v>2226</v>
      </c>
      <c r="U158" s="796" t="s">
        <v>2225</v>
      </c>
      <c r="V158" s="796"/>
      <c r="W158" s="796"/>
      <c r="X158" s="796"/>
      <c r="Y158" s="796" t="s">
        <v>1550</v>
      </c>
      <c r="Z158" s="796" t="s">
        <v>2222</v>
      </c>
      <c r="AA158" s="796" t="s">
        <v>2222</v>
      </c>
      <c r="AB158" s="796" t="s">
        <v>1551</v>
      </c>
      <c r="AC158" s="796" t="s">
        <v>2222</v>
      </c>
      <c r="AD158" s="796" t="s">
        <v>2223</v>
      </c>
      <c r="AE158" s="796"/>
      <c r="AF158" s="796"/>
      <c r="AG158" s="796"/>
      <c r="AH158" s="796"/>
      <c r="AI158" s="796"/>
      <c r="AJ158" s="796"/>
      <c r="AK158" s="796"/>
      <c r="AL158" s="796"/>
      <c r="AM158" s="796"/>
      <c r="AN158" s="796"/>
      <c r="AO158" s="796"/>
      <c r="AP158" s="796"/>
      <c r="AQ158" s="796"/>
      <c r="AR158" s="796"/>
      <c r="AS158" s="796"/>
      <c r="AT158" s="796"/>
      <c r="AU158" s="796"/>
    </row>
    <row r="159" spans="1:47" ht="13.5">
      <c r="A159" s="796" t="s">
        <v>1552</v>
      </c>
      <c r="B159" s="796" t="s">
        <v>2221</v>
      </c>
      <c r="C159" s="796" t="s">
        <v>2221</v>
      </c>
      <c r="D159" s="796" t="s">
        <v>1553</v>
      </c>
      <c r="E159" s="796" t="s">
        <v>2221</v>
      </c>
      <c r="F159" s="796" t="s">
        <v>2221</v>
      </c>
      <c r="G159" s="796"/>
      <c r="H159" s="796"/>
      <c r="I159" s="796"/>
      <c r="J159" s="796"/>
      <c r="K159" s="796"/>
      <c r="L159" s="796"/>
      <c r="M159" s="796"/>
      <c r="N159" s="796"/>
      <c r="O159" s="796"/>
      <c r="P159" s="796"/>
      <c r="Q159" s="796"/>
      <c r="R159" s="796"/>
      <c r="S159" s="796" t="s">
        <v>1554</v>
      </c>
      <c r="T159" s="796" t="s">
        <v>2223</v>
      </c>
      <c r="U159" s="796" t="s">
        <v>2224</v>
      </c>
      <c r="V159" s="796"/>
      <c r="W159" s="796"/>
      <c r="X159" s="796"/>
      <c r="Y159" s="796" t="s">
        <v>1555</v>
      </c>
      <c r="Z159" s="796" t="s">
        <v>2222</v>
      </c>
      <c r="AA159" s="796" t="s">
        <v>2222</v>
      </c>
      <c r="AB159" s="796" t="s">
        <v>1556</v>
      </c>
      <c r="AC159" s="796" t="s">
        <v>2221</v>
      </c>
      <c r="AD159" s="796" t="s">
        <v>2221</v>
      </c>
      <c r="AE159" s="796"/>
      <c r="AF159" s="796"/>
      <c r="AG159" s="796"/>
      <c r="AH159" s="796"/>
      <c r="AI159" s="796"/>
      <c r="AJ159" s="796"/>
      <c r="AK159" s="796"/>
      <c r="AL159" s="796"/>
      <c r="AM159" s="796"/>
      <c r="AN159" s="796"/>
      <c r="AO159" s="796"/>
      <c r="AP159" s="796"/>
      <c r="AQ159" s="796"/>
      <c r="AR159" s="796"/>
      <c r="AS159" s="796"/>
      <c r="AT159" s="796"/>
      <c r="AU159" s="796"/>
    </row>
    <row r="160" spans="1:47" ht="13.5">
      <c r="A160" s="796" t="s">
        <v>1557</v>
      </c>
      <c r="B160" s="796" t="s">
        <v>2224</v>
      </c>
      <c r="C160" s="796" t="s">
        <v>2223</v>
      </c>
      <c r="D160" s="796" t="s">
        <v>1558</v>
      </c>
      <c r="E160" s="796" t="s">
        <v>2221</v>
      </c>
      <c r="F160" s="796" t="s">
        <v>2221</v>
      </c>
      <c r="G160" s="796"/>
      <c r="H160" s="796"/>
      <c r="I160" s="796"/>
      <c r="J160" s="796"/>
      <c r="K160" s="796"/>
      <c r="L160" s="796"/>
      <c r="M160" s="796"/>
      <c r="N160" s="796"/>
      <c r="O160" s="796"/>
      <c r="P160" s="796"/>
      <c r="Q160" s="796"/>
      <c r="R160" s="796"/>
      <c r="S160" s="796" t="s">
        <v>1559</v>
      </c>
      <c r="T160" s="796" t="s">
        <v>2222</v>
      </c>
      <c r="U160" s="796" t="s">
        <v>2223</v>
      </c>
      <c r="V160" s="796"/>
      <c r="W160" s="796"/>
      <c r="X160" s="796"/>
      <c r="Y160" s="796" t="s">
        <v>1560</v>
      </c>
      <c r="Z160" s="796" t="s">
        <v>2222</v>
      </c>
      <c r="AA160" s="796" t="s">
        <v>2222</v>
      </c>
      <c r="AB160" s="796" t="s">
        <v>1561</v>
      </c>
      <c r="AC160" s="796" t="s">
        <v>2221</v>
      </c>
      <c r="AD160" s="796" t="s">
        <v>2222</v>
      </c>
      <c r="AE160" s="796"/>
      <c r="AF160" s="796"/>
      <c r="AG160" s="796"/>
      <c r="AH160" s="796"/>
      <c r="AI160" s="796"/>
      <c r="AJ160" s="796"/>
      <c r="AK160" s="796"/>
      <c r="AL160" s="796"/>
      <c r="AM160" s="796"/>
      <c r="AN160" s="796"/>
      <c r="AO160" s="796"/>
      <c r="AP160" s="796"/>
      <c r="AQ160" s="796"/>
      <c r="AR160" s="796"/>
      <c r="AS160" s="796"/>
      <c r="AT160" s="796"/>
      <c r="AU160" s="796"/>
    </row>
    <row r="161" spans="1:47" ht="13.5">
      <c r="A161" s="796" t="s">
        <v>1562</v>
      </c>
      <c r="B161" s="796" t="s">
        <v>2223</v>
      </c>
      <c r="C161" s="796" t="s">
        <v>2223</v>
      </c>
      <c r="D161" s="796" t="s">
        <v>1563</v>
      </c>
      <c r="E161" s="796" t="s">
        <v>2221</v>
      </c>
      <c r="F161" s="796" t="s">
        <v>2221</v>
      </c>
      <c r="G161" s="796"/>
      <c r="H161" s="796"/>
      <c r="I161" s="796"/>
      <c r="J161" s="796"/>
      <c r="K161" s="796"/>
      <c r="L161" s="796"/>
      <c r="M161" s="796"/>
      <c r="N161" s="796"/>
      <c r="O161" s="796"/>
      <c r="P161" s="796"/>
      <c r="Q161" s="796"/>
      <c r="R161" s="796"/>
      <c r="S161" s="796" t="s">
        <v>1564</v>
      </c>
      <c r="T161" s="796" t="s">
        <v>2224</v>
      </c>
      <c r="U161" s="796" t="s">
        <v>2224</v>
      </c>
      <c r="V161" s="796"/>
      <c r="W161" s="796"/>
      <c r="X161" s="796"/>
      <c r="Y161" s="796" t="s">
        <v>1565</v>
      </c>
      <c r="Z161" s="796" t="s">
        <v>2221</v>
      </c>
      <c r="AA161" s="796" t="s">
        <v>2222</v>
      </c>
      <c r="AB161" s="796" t="s">
        <v>1566</v>
      </c>
      <c r="AC161" s="796" t="s">
        <v>2223</v>
      </c>
      <c r="AD161" s="796" t="s">
        <v>2223</v>
      </c>
      <c r="AE161" s="796"/>
      <c r="AF161" s="796"/>
      <c r="AG161" s="796"/>
      <c r="AH161" s="796"/>
      <c r="AI161" s="796"/>
      <c r="AJ161" s="796"/>
      <c r="AK161" s="796"/>
      <c r="AL161" s="796"/>
      <c r="AM161" s="796"/>
      <c r="AN161" s="796"/>
      <c r="AO161" s="796"/>
      <c r="AP161" s="796"/>
      <c r="AQ161" s="796"/>
      <c r="AR161" s="796"/>
      <c r="AS161" s="796"/>
      <c r="AT161" s="796"/>
      <c r="AU161" s="796"/>
    </row>
    <row r="162" spans="1:47" ht="13.5">
      <c r="A162" s="796" t="s">
        <v>1567</v>
      </c>
      <c r="B162" s="796" t="s">
        <v>2225</v>
      </c>
      <c r="C162" s="796" t="s">
        <v>2225</v>
      </c>
      <c r="D162" s="796" t="s">
        <v>1568</v>
      </c>
      <c r="E162" s="796" t="s">
        <v>2222</v>
      </c>
      <c r="F162" s="796" t="s">
        <v>2222</v>
      </c>
      <c r="G162" s="796"/>
      <c r="H162" s="796"/>
      <c r="I162" s="796"/>
      <c r="J162" s="796"/>
      <c r="K162" s="796"/>
      <c r="L162" s="796"/>
      <c r="M162" s="796"/>
      <c r="N162" s="796"/>
      <c r="O162" s="796"/>
      <c r="P162" s="796"/>
      <c r="Q162" s="796"/>
      <c r="R162" s="796"/>
      <c r="S162" s="796" t="s">
        <v>1569</v>
      </c>
      <c r="T162" s="796" t="s">
        <v>2224</v>
      </c>
      <c r="U162" s="796" t="s">
        <v>2224</v>
      </c>
      <c r="V162" s="796"/>
      <c r="W162" s="796"/>
      <c r="X162" s="796"/>
      <c r="Y162" s="796" t="s">
        <v>1570</v>
      </c>
      <c r="Z162" s="796" t="s">
        <v>2222</v>
      </c>
      <c r="AA162" s="796" t="s">
        <v>2222</v>
      </c>
      <c r="AB162" s="796" t="s">
        <v>1571</v>
      </c>
      <c r="AC162" s="796" t="s">
        <v>2226</v>
      </c>
      <c r="AD162" s="796" t="s">
        <v>2226</v>
      </c>
      <c r="AE162" s="796"/>
      <c r="AF162" s="796"/>
      <c r="AG162" s="796"/>
      <c r="AH162" s="796"/>
      <c r="AI162" s="796"/>
      <c r="AJ162" s="796"/>
      <c r="AK162" s="796"/>
      <c r="AL162" s="796"/>
      <c r="AM162" s="796"/>
      <c r="AN162" s="796"/>
      <c r="AO162" s="796"/>
      <c r="AP162" s="796"/>
      <c r="AQ162" s="796"/>
      <c r="AR162" s="796"/>
      <c r="AS162" s="796"/>
      <c r="AT162" s="796"/>
      <c r="AU162" s="796"/>
    </row>
    <row r="163" spans="1:47" ht="13.5">
      <c r="A163" s="796" t="s">
        <v>1572</v>
      </c>
      <c r="B163" s="796" t="s">
        <v>2226</v>
      </c>
      <c r="C163" s="796" t="s">
        <v>2226</v>
      </c>
      <c r="D163" s="796" t="s">
        <v>1573</v>
      </c>
      <c r="E163" s="796" t="s">
        <v>2222</v>
      </c>
      <c r="F163" s="796" t="s">
        <v>2222</v>
      </c>
      <c r="G163" s="796"/>
      <c r="H163" s="796"/>
      <c r="I163" s="796"/>
      <c r="J163" s="796"/>
      <c r="K163" s="796"/>
      <c r="L163" s="796"/>
      <c r="M163" s="796"/>
      <c r="N163" s="796"/>
      <c r="O163" s="796"/>
      <c r="P163" s="796"/>
      <c r="Q163" s="796"/>
      <c r="R163" s="796"/>
      <c r="S163" s="796" t="s">
        <v>1574</v>
      </c>
      <c r="T163" s="796" t="s">
        <v>2224</v>
      </c>
      <c r="U163" s="796" t="s">
        <v>2225</v>
      </c>
      <c r="V163" s="796"/>
      <c r="W163" s="796"/>
      <c r="X163" s="796"/>
      <c r="Y163" s="796" t="s">
        <v>1575</v>
      </c>
      <c r="Z163" s="796" t="s">
        <v>2224</v>
      </c>
      <c r="AA163" s="796" t="s">
        <v>2224</v>
      </c>
      <c r="AB163" s="796" t="s">
        <v>1576</v>
      </c>
      <c r="AC163" s="796" t="s">
        <v>2224</v>
      </c>
      <c r="AD163" s="796" t="s">
        <v>2224</v>
      </c>
      <c r="AE163" s="796"/>
      <c r="AF163" s="796"/>
      <c r="AG163" s="796"/>
      <c r="AH163" s="796"/>
      <c r="AI163" s="796"/>
      <c r="AJ163" s="796"/>
      <c r="AK163" s="796"/>
      <c r="AL163" s="796"/>
      <c r="AM163" s="796"/>
      <c r="AN163" s="796"/>
      <c r="AO163" s="796"/>
      <c r="AP163" s="796"/>
      <c r="AQ163" s="796"/>
      <c r="AR163" s="796"/>
      <c r="AS163" s="796"/>
      <c r="AT163" s="796"/>
      <c r="AU163" s="796"/>
    </row>
    <row r="164" spans="1:47" ht="13.5">
      <c r="A164" s="796" t="s">
        <v>1577</v>
      </c>
      <c r="B164" s="796" t="s">
        <v>2224</v>
      </c>
      <c r="C164" s="796" t="s">
        <v>2224</v>
      </c>
      <c r="D164" s="796" t="s">
        <v>1578</v>
      </c>
      <c r="E164" s="796" t="s">
        <v>2222</v>
      </c>
      <c r="F164" s="796" t="s">
        <v>2222</v>
      </c>
      <c r="G164" s="796"/>
      <c r="H164" s="796"/>
      <c r="I164" s="796"/>
      <c r="J164" s="796"/>
      <c r="K164" s="796"/>
      <c r="L164" s="796"/>
      <c r="M164" s="796"/>
      <c r="N164" s="796"/>
      <c r="O164" s="796"/>
      <c r="P164" s="796"/>
      <c r="Q164" s="796"/>
      <c r="R164" s="796"/>
      <c r="S164" s="796" t="s">
        <v>1579</v>
      </c>
      <c r="T164" s="796" t="s">
        <v>2225</v>
      </c>
      <c r="U164" s="796" t="s">
        <v>2225</v>
      </c>
      <c r="V164" s="796"/>
      <c r="W164" s="796"/>
      <c r="X164" s="796"/>
      <c r="Y164" s="796" t="s">
        <v>1580</v>
      </c>
      <c r="Z164" s="796" t="s">
        <v>2223</v>
      </c>
      <c r="AA164" s="796" t="s">
        <v>2223</v>
      </c>
      <c r="AB164" s="796" t="s">
        <v>1581</v>
      </c>
      <c r="AC164" s="796" t="s">
        <v>2223</v>
      </c>
      <c r="AD164" s="796" t="s">
        <v>2223</v>
      </c>
      <c r="AE164" s="796"/>
      <c r="AF164" s="796"/>
      <c r="AG164" s="796"/>
      <c r="AH164" s="796"/>
      <c r="AI164" s="796"/>
      <c r="AJ164" s="796"/>
      <c r="AK164" s="796"/>
      <c r="AL164" s="796"/>
      <c r="AM164" s="796"/>
      <c r="AN164" s="796"/>
      <c r="AO164" s="796"/>
      <c r="AP164" s="796"/>
      <c r="AQ164" s="796"/>
      <c r="AR164" s="796"/>
      <c r="AS164" s="796"/>
      <c r="AT164" s="796"/>
      <c r="AU164" s="796"/>
    </row>
    <row r="165" spans="1:47" ht="13.5">
      <c r="A165" s="796" t="s">
        <v>1582</v>
      </c>
      <c r="B165" s="796" t="s">
        <v>2226</v>
      </c>
      <c r="C165" s="796" t="s">
        <v>2226</v>
      </c>
      <c r="D165" s="796" t="s">
        <v>1583</v>
      </c>
      <c r="E165" s="796" t="s">
        <v>2221</v>
      </c>
      <c r="F165" s="796" t="s">
        <v>2222</v>
      </c>
      <c r="G165" s="796"/>
      <c r="H165" s="796"/>
      <c r="I165" s="796"/>
      <c r="J165" s="796"/>
      <c r="K165" s="796"/>
      <c r="L165" s="796"/>
      <c r="M165" s="796"/>
      <c r="N165" s="796"/>
      <c r="O165" s="796"/>
      <c r="P165" s="796"/>
      <c r="Q165" s="796"/>
      <c r="R165" s="796"/>
      <c r="S165" s="796" t="s">
        <v>1584</v>
      </c>
      <c r="T165" s="796" t="s">
        <v>2223</v>
      </c>
      <c r="U165" s="796" t="s">
        <v>2224</v>
      </c>
      <c r="V165" s="796"/>
      <c r="W165" s="796"/>
      <c r="X165" s="796"/>
      <c r="Y165" s="796" t="s">
        <v>1585</v>
      </c>
      <c r="Z165" s="796" t="s">
        <v>2222</v>
      </c>
      <c r="AA165" s="796" t="s">
        <v>2222</v>
      </c>
      <c r="AB165" s="796" t="s">
        <v>1586</v>
      </c>
      <c r="AC165" s="796" t="s">
        <v>2222</v>
      </c>
      <c r="AD165" s="796" t="s">
        <v>2222</v>
      </c>
      <c r="AE165" s="796"/>
      <c r="AF165" s="796"/>
      <c r="AG165" s="796"/>
      <c r="AH165" s="796"/>
      <c r="AI165" s="796"/>
      <c r="AJ165" s="796"/>
      <c r="AK165" s="796"/>
      <c r="AL165" s="796"/>
      <c r="AM165" s="796"/>
      <c r="AN165" s="796"/>
      <c r="AO165" s="796"/>
      <c r="AP165" s="796"/>
      <c r="AQ165" s="796"/>
      <c r="AR165" s="796"/>
      <c r="AS165" s="796"/>
      <c r="AT165" s="796"/>
      <c r="AU165" s="796"/>
    </row>
    <row r="166" spans="1:47" ht="13.5">
      <c r="A166" s="796" t="s">
        <v>1587</v>
      </c>
      <c r="B166" s="796" t="s">
        <v>2223</v>
      </c>
      <c r="C166" s="796" t="s">
        <v>2224</v>
      </c>
      <c r="D166" s="796" t="s">
        <v>1588</v>
      </c>
      <c r="E166" s="796" t="s">
        <v>2221</v>
      </c>
      <c r="F166" s="796" t="s">
        <v>2221</v>
      </c>
      <c r="G166" s="796"/>
      <c r="H166" s="796"/>
      <c r="I166" s="796"/>
      <c r="J166" s="796"/>
      <c r="K166" s="796"/>
      <c r="L166" s="796"/>
      <c r="M166" s="796"/>
      <c r="N166" s="796"/>
      <c r="O166" s="796"/>
      <c r="P166" s="796"/>
      <c r="Q166" s="796"/>
      <c r="R166" s="796"/>
      <c r="S166" s="796" t="s">
        <v>1589</v>
      </c>
      <c r="T166" s="796" t="s">
        <v>2224</v>
      </c>
      <c r="U166" s="796" t="s">
        <v>2224</v>
      </c>
      <c r="V166" s="796"/>
      <c r="W166" s="796"/>
      <c r="X166" s="796"/>
      <c r="Y166" s="796" t="s">
        <v>1590</v>
      </c>
      <c r="Z166" s="796" t="s">
        <v>2221</v>
      </c>
      <c r="AA166" s="796" t="s">
        <v>2221</v>
      </c>
      <c r="AB166" s="796" t="s">
        <v>1591</v>
      </c>
      <c r="AC166" s="796" t="s">
        <v>2224</v>
      </c>
      <c r="AD166" s="796" t="s">
        <v>2224</v>
      </c>
      <c r="AE166" s="796"/>
      <c r="AF166" s="796"/>
      <c r="AG166" s="796"/>
      <c r="AH166" s="796"/>
      <c r="AI166" s="796"/>
      <c r="AJ166" s="796"/>
      <c r="AK166" s="796"/>
      <c r="AL166" s="796"/>
      <c r="AM166" s="796"/>
      <c r="AN166" s="796"/>
      <c r="AO166" s="796"/>
      <c r="AP166" s="796"/>
      <c r="AQ166" s="796"/>
      <c r="AR166" s="796"/>
      <c r="AS166" s="796"/>
      <c r="AT166" s="796"/>
      <c r="AU166" s="796"/>
    </row>
    <row r="167" spans="1:47" ht="13.5">
      <c r="A167" s="796" t="s">
        <v>1592</v>
      </c>
      <c r="B167" s="796" t="s">
        <v>2222</v>
      </c>
      <c r="C167" s="796" t="s">
        <v>2222</v>
      </c>
      <c r="D167" s="796" t="s">
        <v>1593</v>
      </c>
      <c r="E167" s="796" t="s">
        <v>2223</v>
      </c>
      <c r="F167" s="796" t="s">
        <v>2223</v>
      </c>
      <c r="G167" s="796"/>
      <c r="H167" s="796"/>
      <c r="I167" s="796"/>
      <c r="J167" s="796"/>
      <c r="K167" s="796"/>
      <c r="L167" s="796"/>
      <c r="M167" s="796"/>
      <c r="N167" s="796"/>
      <c r="O167" s="796"/>
      <c r="P167" s="796"/>
      <c r="Q167" s="796"/>
      <c r="R167" s="796"/>
      <c r="S167" s="796" t="s">
        <v>1594</v>
      </c>
      <c r="T167" s="796" t="s">
        <v>2221</v>
      </c>
      <c r="U167" s="796" t="s">
        <v>2221</v>
      </c>
      <c r="V167" s="796"/>
      <c r="W167" s="796"/>
      <c r="X167" s="796"/>
      <c r="Y167" s="796" t="s">
        <v>1595</v>
      </c>
      <c r="Z167" s="796" t="s">
        <v>2221</v>
      </c>
      <c r="AA167" s="796" t="s">
        <v>2221</v>
      </c>
      <c r="AB167" s="796" t="s">
        <v>1596</v>
      </c>
      <c r="AC167" s="796" t="s">
        <v>2221</v>
      </c>
      <c r="AD167" s="796" t="s">
        <v>2222</v>
      </c>
      <c r="AE167" s="796"/>
      <c r="AF167" s="796"/>
      <c r="AG167" s="796"/>
      <c r="AH167" s="796"/>
      <c r="AI167" s="796"/>
      <c r="AJ167" s="796"/>
      <c r="AK167" s="796"/>
      <c r="AL167" s="796"/>
      <c r="AM167" s="796"/>
      <c r="AN167" s="796"/>
      <c r="AO167" s="796"/>
      <c r="AP167" s="796"/>
      <c r="AQ167" s="796"/>
      <c r="AR167" s="796"/>
      <c r="AS167" s="796"/>
      <c r="AT167" s="796"/>
      <c r="AU167" s="796"/>
    </row>
    <row r="168" spans="1:47" ht="13.5">
      <c r="A168" s="796" t="s">
        <v>1597</v>
      </c>
      <c r="B168" s="796" t="s">
        <v>2222</v>
      </c>
      <c r="C168" s="796" t="s">
        <v>2223</v>
      </c>
      <c r="D168" s="796" t="s">
        <v>1598</v>
      </c>
      <c r="E168" s="796" t="s">
        <v>2221</v>
      </c>
      <c r="F168" s="796" t="s">
        <v>2221</v>
      </c>
      <c r="G168" s="796"/>
      <c r="H168" s="796"/>
      <c r="I168" s="796"/>
      <c r="J168" s="796"/>
      <c r="K168" s="796"/>
      <c r="L168" s="796"/>
      <c r="M168" s="796"/>
      <c r="N168" s="796"/>
      <c r="O168" s="796"/>
      <c r="P168" s="796"/>
      <c r="Q168" s="796"/>
      <c r="R168" s="796"/>
      <c r="S168" s="796" t="s">
        <v>1599</v>
      </c>
      <c r="T168" s="796" t="s">
        <v>2225</v>
      </c>
      <c r="U168" s="796" t="s">
        <v>2226</v>
      </c>
      <c r="V168" s="796"/>
      <c r="W168" s="796"/>
      <c r="X168" s="796"/>
      <c r="Y168" s="796" t="s">
        <v>1600</v>
      </c>
      <c r="Z168" s="796" t="s">
        <v>2222</v>
      </c>
      <c r="AA168" s="796" t="s">
        <v>2222</v>
      </c>
      <c r="AB168" s="796" t="s">
        <v>1601</v>
      </c>
      <c r="AC168" s="796" t="s">
        <v>2222</v>
      </c>
      <c r="AD168" s="796" t="s">
        <v>2222</v>
      </c>
      <c r="AE168" s="796"/>
      <c r="AF168" s="796"/>
      <c r="AG168" s="796"/>
      <c r="AH168" s="796"/>
      <c r="AI168" s="796"/>
      <c r="AJ168" s="796"/>
      <c r="AK168" s="796"/>
      <c r="AL168" s="796"/>
      <c r="AM168" s="796"/>
      <c r="AN168" s="796"/>
      <c r="AO168" s="796"/>
      <c r="AP168" s="796"/>
      <c r="AQ168" s="796"/>
      <c r="AR168" s="796"/>
      <c r="AS168" s="796"/>
      <c r="AT168" s="796"/>
      <c r="AU168" s="796"/>
    </row>
    <row r="169" spans="1:47" ht="13.5">
      <c r="A169" s="796" t="s">
        <v>1602</v>
      </c>
      <c r="B169" s="796" t="s">
        <v>2223</v>
      </c>
      <c r="C169" s="796" t="s">
        <v>2223</v>
      </c>
      <c r="D169" s="796" t="s">
        <v>1603</v>
      </c>
      <c r="E169" s="796" t="s">
        <v>2222</v>
      </c>
      <c r="F169" s="796" t="s">
        <v>2222</v>
      </c>
      <c r="G169" s="796"/>
      <c r="H169" s="796"/>
      <c r="I169" s="796"/>
      <c r="J169" s="796"/>
      <c r="K169" s="796"/>
      <c r="L169" s="796"/>
      <c r="M169" s="796"/>
      <c r="N169" s="796"/>
      <c r="O169" s="796"/>
      <c r="P169" s="796"/>
      <c r="Q169" s="796"/>
      <c r="R169" s="796"/>
      <c r="S169" s="796" t="s">
        <v>1604</v>
      </c>
      <c r="T169" s="796" t="s">
        <v>2221</v>
      </c>
      <c r="U169" s="796"/>
      <c r="V169" s="796"/>
      <c r="W169" s="796"/>
      <c r="X169" s="796"/>
      <c r="Y169" s="796" t="s">
        <v>1605</v>
      </c>
      <c r="Z169" s="796" t="s">
        <v>2222</v>
      </c>
      <c r="AA169" s="796" t="s">
        <v>2223</v>
      </c>
      <c r="AB169" s="796" t="s">
        <v>1606</v>
      </c>
      <c r="AC169" s="796" t="s">
        <v>2222</v>
      </c>
      <c r="AD169" s="796" t="s">
        <v>2222</v>
      </c>
      <c r="AE169" s="796"/>
      <c r="AF169" s="796"/>
      <c r="AG169" s="796"/>
      <c r="AH169" s="796"/>
      <c r="AI169" s="796"/>
      <c r="AJ169" s="796"/>
      <c r="AK169" s="796"/>
      <c r="AL169" s="796"/>
      <c r="AM169" s="796"/>
      <c r="AN169" s="796"/>
      <c r="AO169" s="796"/>
      <c r="AP169" s="796"/>
      <c r="AQ169" s="796"/>
      <c r="AR169" s="796"/>
      <c r="AS169" s="796"/>
      <c r="AT169" s="796"/>
      <c r="AU169" s="796"/>
    </row>
    <row r="170" spans="1:47" ht="13.5">
      <c r="A170" s="796" t="s">
        <v>1607</v>
      </c>
      <c r="B170" s="796" t="s">
        <v>2224</v>
      </c>
      <c r="C170" s="796" t="s">
        <v>2224</v>
      </c>
      <c r="D170" s="796" t="s">
        <v>1608</v>
      </c>
      <c r="E170" s="796" t="s">
        <v>2221</v>
      </c>
      <c r="F170" s="796" t="s">
        <v>2221</v>
      </c>
      <c r="G170" s="796"/>
      <c r="H170" s="796"/>
      <c r="I170" s="796"/>
      <c r="J170" s="796"/>
      <c r="K170" s="796"/>
      <c r="L170" s="796"/>
      <c r="M170" s="796"/>
      <c r="N170" s="796"/>
      <c r="O170" s="796"/>
      <c r="P170" s="796"/>
      <c r="Q170" s="796"/>
      <c r="R170" s="796"/>
      <c r="S170" s="796" t="s">
        <v>1609</v>
      </c>
      <c r="T170" s="796" t="s">
        <v>2222</v>
      </c>
      <c r="U170" s="796" t="s">
        <v>2222</v>
      </c>
      <c r="V170" s="796"/>
      <c r="W170" s="796"/>
      <c r="X170" s="796"/>
      <c r="Y170" s="796" t="s">
        <v>1610</v>
      </c>
      <c r="Z170" s="796" t="s">
        <v>2221</v>
      </c>
      <c r="AA170" s="796" t="s">
        <v>2221</v>
      </c>
      <c r="AB170" s="796" t="s">
        <v>1611</v>
      </c>
      <c r="AC170" s="796" t="s">
        <v>2223</v>
      </c>
      <c r="AD170" s="796" t="s">
        <v>2223</v>
      </c>
      <c r="AE170" s="796"/>
      <c r="AF170" s="796"/>
      <c r="AG170" s="796"/>
      <c r="AH170" s="796"/>
      <c r="AI170" s="796"/>
      <c r="AJ170" s="796"/>
      <c r="AK170" s="796"/>
      <c r="AL170" s="796"/>
      <c r="AM170" s="796"/>
      <c r="AN170" s="796"/>
      <c r="AO170" s="796"/>
      <c r="AP170" s="796"/>
      <c r="AQ170" s="796"/>
      <c r="AR170" s="796"/>
      <c r="AS170" s="796"/>
      <c r="AT170" s="796"/>
      <c r="AU170" s="796"/>
    </row>
    <row r="171" spans="1:47" ht="13.5">
      <c r="A171" s="796" t="s">
        <v>1612</v>
      </c>
      <c r="B171" s="796" t="s">
        <v>2225</v>
      </c>
      <c r="C171" s="796" t="s">
        <v>2225</v>
      </c>
      <c r="D171" s="796" t="s">
        <v>1613</v>
      </c>
      <c r="E171" s="796" t="s">
        <v>2223</v>
      </c>
      <c r="F171" s="796" t="s">
        <v>2224</v>
      </c>
      <c r="G171" s="796"/>
      <c r="H171" s="796"/>
      <c r="I171" s="796"/>
      <c r="J171" s="796"/>
      <c r="K171" s="796"/>
      <c r="L171" s="796"/>
      <c r="M171" s="796"/>
      <c r="N171" s="796"/>
      <c r="O171" s="796"/>
      <c r="P171" s="796"/>
      <c r="Q171" s="796"/>
      <c r="R171" s="796"/>
      <c r="S171" s="796" t="s">
        <v>1614</v>
      </c>
      <c r="T171" s="796" t="s">
        <v>2224</v>
      </c>
      <c r="U171" s="796" t="s">
        <v>2224</v>
      </c>
      <c r="V171" s="796"/>
      <c r="W171" s="796"/>
      <c r="X171" s="796"/>
      <c r="Y171" s="796" t="s">
        <v>1615</v>
      </c>
      <c r="Z171" s="796" t="s">
        <v>2223</v>
      </c>
      <c r="AA171" s="796" t="s">
        <v>2223</v>
      </c>
      <c r="AB171" s="796" t="s">
        <v>1616</v>
      </c>
      <c r="AC171" s="796" t="s">
        <v>2221</v>
      </c>
      <c r="AD171" s="796" t="s">
        <v>2221</v>
      </c>
      <c r="AE171" s="796"/>
      <c r="AF171" s="796"/>
      <c r="AG171" s="796"/>
      <c r="AH171" s="796"/>
      <c r="AI171" s="796"/>
      <c r="AJ171" s="796"/>
      <c r="AK171" s="796"/>
      <c r="AL171" s="796"/>
      <c r="AM171" s="796"/>
      <c r="AN171" s="796"/>
      <c r="AO171" s="796"/>
      <c r="AP171" s="796"/>
      <c r="AQ171" s="796"/>
      <c r="AR171" s="796"/>
      <c r="AS171" s="796"/>
      <c r="AT171" s="796"/>
      <c r="AU171" s="796"/>
    </row>
    <row r="172" spans="1:47" ht="13.5">
      <c r="A172" s="796" t="s">
        <v>1617</v>
      </c>
      <c r="B172" s="796" t="s">
        <v>2223</v>
      </c>
      <c r="C172" s="796" t="s">
        <v>2223</v>
      </c>
      <c r="D172" s="796" t="s">
        <v>1618</v>
      </c>
      <c r="E172" s="796" t="s">
        <v>2221</v>
      </c>
      <c r="F172" s="796" t="s">
        <v>2222</v>
      </c>
      <c r="G172" s="796"/>
      <c r="H172" s="796"/>
      <c r="I172" s="796"/>
      <c r="J172" s="796"/>
      <c r="K172" s="796"/>
      <c r="L172" s="796"/>
      <c r="M172" s="796"/>
      <c r="N172" s="796"/>
      <c r="O172" s="796"/>
      <c r="P172" s="796"/>
      <c r="Q172" s="796"/>
      <c r="R172" s="796"/>
      <c r="S172" s="796" t="s">
        <v>1619</v>
      </c>
      <c r="T172" s="796" t="s">
        <v>2221</v>
      </c>
      <c r="U172" s="796" t="s">
        <v>2221</v>
      </c>
      <c r="V172" s="796"/>
      <c r="W172" s="796"/>
      <c r="X172" s="796"/>
      <c r="Y172" s="796" t="s">
        <v>1620</v>
      </c>
      <c r="Z172" s="796" t="s">
        <v>2223</v>
      </c>
      <c r="AA172" s="796" t="s">
        <v>2223</v>
      </c>
      <c r="AB172" s="796" t="s">
        <v>1621</v>
      </c>
      <c r="AC172" s="796" t="s">
        <v>2222</v>
      </c>
      <c r="AD172" s="796" t="s">
        <v>2222</v>
      </c>
      <c r="AE172" s="796"/>
      <c r="AF172" s="796"/>
      <c r="AG172" s="796"/>
      <c r="AH172" s="796"/>
      <c r="AI172" s="796"/>
      <c r="AJ172" s="796"/>
      <c r="AK172" s="796"/>
      <c r="AL172" s="796"/>
      <c r="AM172" s="796"/>
      <c r="AN172" s="796"/>
      <c r="AO172" s="796"/>
      <c r="AP172" s="796"/>
      <c r="AQ172" s="796"/>
      <c r="AR172" s="796"/>
      <c r="AS172" s="796"/>
      <c r="AT172" s="796"/>
      <c r="AU172" s="796"/>
    </row>
    <row r="173" spans="1:47" ht="13.5">
      <c r="A173" s="796" t="s">
        <v>1622</v>
      </c>
      <c r="B173" s="796" t="s">
        <v>2225</v>
      </c>
      <c r="C173" s="796" t="s">
        <v>2225</v>
      </c>
      <c r="D173" s="796" t="s">
        <v>1623</v>
      </c>
      <c r="E173" s="796" t="s">
        <v>2221</v>
      </c>
      <c r="F173" s="796" t="s">
        <v>2221</v>
      </c>
      <c r="G173" s="796"/>
      <c r="H173" s="796"/>
      <c r="I173" s="796"/>
      <c r="J173" s="796"/>
      <c r="K173" s="796"/>
      <c r="L173" s="796"/>
      <c r="M173" s="796"/>
      <c r="N173" s="796"/>
      <c r="O173" s="796"/>
      <c r="P173" s="796"/>
      <c r="Q173" s="796"/>
      <c r="R173" s="796"/>
      <c r="S173" s="796" t="s">
        <v>1624</v>
      </c>
      <c r="T173" s="796" t="s">
        <v>2225</v>
      </c>
      <c r="U173" s="796" t="s">
        <v>2225</v>
      </c>
      <c r="V173" s="796"/>
      <c r="W173" s="796"/>
      <c r="X173" s="796"/>
      <c r="Y173" s="796" t="s">
        <v>1625</v>
      </c>
      <c r="Z173" s="796" t="s">
        <v>2221</v>
      </c>
      <c r="AA173" s="796" t="s">
        <v>2221</v>
      </c>
      <c r="AB173" s="796" t="s">
        <v>1626</v>
      </c>
      <c r="AC173" s="796" t="s">
        <v>2221</v>
      </c>
      <c r="AD173" s="796" t="s">
        <v>2222</v>
      </c>
      <c r="AE173" s="796"/>
      <c r="AF173" s="796"/>
      <c r="AG173" s="796"/>
      <c r="AH173" s="796"/>
      <c r="AI173" s="796"/>
      <c r="AJ173" s="796"/>
      <c r="AK173" s="796"/>
      <c r="AL173" s="796"/>
      <c r="AM173" s="796"/>
      <c r="AN173" s="796"/>
      <c r="AO173" s="796"/>
      <c r="AP173" s="796"/>
      <c r="AQ173" s="796"/>
      <c r="AR173" s="796"/>
      <c r="AS173" s="796"/>
      <c r="AT173" s="796"/>
      <c r="AU173" s="796"/>
    </row>
    <row r="174" spans="1:47" ht="13.5">
      <c r="A174" s="796" t="s">
        <v>1627</v>
      </c>
      <c r="B174" s="796" t="s">
        <v>2225</v>
      </c>
      <c r="C174" s="796" t="s">
        <v>2224</v>
      </c>
      <c r="D174" s="796" t="s">
        <v>1628</v>
      </c>
      <c r="E174" s="796" t="s">
        <v>2221</v>
      </c>
      <c r="F174" s="796" t="s">
        <v>2221</v>
      </c>
      <c r="G174" s="796"/>
      <c r="H174" s="796"/>
      <c r="I174" s="796"/>
      <c r="J174" s="796"/>
      <c r="K174" s="796"/>
      <c r="L174" s="796"/>
      <c r="M174" s="796"/>
      <c r="N174" s="796"/>
      <c r="O174" s="796"/>
      <c r="P174" s="796"/>
      <c r="Q174" s="796"/>
      <c r="R174" s="796"/>
      <c r="S174" s="796" t="s">
        <v>1629</v>
      </c>
      <c r="T174" s="796" t="s">
        <v>2221</v>
      </c>
      <c r="U174" s="796" t="s">
        <v>2221</v>
      </c>
      <c r="V174" s="796"/>
      <c r="W174" s="796"/>
      <c r="X174" s="796"/>
      <c r="Y174" s="796" t="s">
        <v>1630</v>
      </c>
      <c r="Z174" s="796" t="s">
        <v>2222</v>
      </c>
      <c r="AA174" s="796" t="s">
        <v>2222</v>
      </c>
      <c r="AB174" s="796" t="s">
        <v>1631</v>
      </c>
      <c r="AC174" s="796" t="s">
        <v>2221</v>
      </c>
      <c r="AD174" s="796" t="s">
        <v>2221</v>
      </c>
      <c r="AE174" s="796"/>
      <c r="AF174" s="796"/>
      <c r="AG174" s="796"/>
      <c r="AH174" s="796"/>
      <c r="AI174" s="796"/>
      <c r="AJ174" s="796"/>
      <c r="AK174" s="796"/>
      <c r="AL174" s="796"/>
      <c r="AM174" s="796"/>
      <c r="AN174" s="796"/>
      <c r="AO174" s="796"/>
      <c r="AP174" s="796"/>
      <c r="AQ174" s="796"/>
      <c r="AR174" s="796"/>
      <c r="AS174" s="796"/>
      <c r="AT174" s="796"/>
      <c r="AU174" s="796"/>
    </row>
    <row r="175" spans="1:47" ht="13.5">
      <c r="A175" s="796" t="s">
        <v>1632</v>
      </c>
      <c r="B175" s="796" t="s">
        <v>2224</v>
      </c>
      <c r="C175" s="796" t="s">
        <v>2224</v>
      </c>
      <c r="D175" s="796" t="s">
        <v>1633</v>
      </c>
      <c r="E175" s="796" t="s">
        <v>2221</v>
      </c>
      <c r="F175" s="796" t="s">
        <v>2221</v>
      </c>
      <c r="G175" s="796"/>
      <c r="H175" s="796"/>
      <c r="I175" s="796"/>
      <c r="J175" s="796"/>
      <c r="K175" s="796"/>
      <c r="L175" s="796"/>
      <c r="M175" s="796"/>
      <c r="N175" s="796"/>
      <c r="O175" s="796"/>
      <c r="P175" s="796"/>
      <c r="Q175" s="796"/>
      <c r="R175" s="796"/>
      <c r="S175" s="796" t="s">
        <v>1634</v>
      </c>
      <c r="T175" s="796" t="s">
        <v>2225</v>
      </c>
      <c r="U175" s="796" t="s">
        <v>2225</v>
      </c>
      <c r="V175" s="796"/>
      <c r="W175" s="796"/>
      <c r="X175" s="796"/>
      <c r="Y175" s="796" t="s">
        <v>1635</v>
      </c>
      <c r="Z175" s="796" t="s">
        <v>2221</v>
      </c>
      <c r="AA175" s="796" t="s">
        <v>2221</v>
      </c>
      <c r="AB175" s="796" t="s">
        <v>1636</v>
      </c>
      <c r="AC175" s="796" t="s">
        <v>2221</v>
      </c>
      <c r="AD175" s="796" t="s">
        <v>2221</v>
      </c>
      <c r="AE175" s="796"/>
      <c r="AF175" s="796"/>
      <c r="AG175" s="796"/>
      <c r="AH175" s="796"/>
      <c r="AI175" s="796"/>
      <c r="AJ175" s="796"/>
      <c r="AK175" s="796"/>
      <c r="AL175" s="796"/>
      <c r="AM175" s="796"/>
      <c r="AN175" s="796"/>
      <c r="AO175" s="796"/>
      <c r="AP175" s="796"/>
      <c r="AQ175" s="796"/>
      <c r="AR175" s="796"/>
      <c r="AS175" s="796"/>
      <c r="AT175" s="796"/>
      <c r="AU175" s="796"/>
    </row>
    <row r="176" spans="1:47" ht="13.5">
      <c r="A176" s="796" t="s">
        <v>1637</v>
      </c>
      <c r="B176" s="796" t="s">
        <v>2224</v>
      </c>
      <c r="C176" s="796" t="s">
        <v>2225</v>
      </c>
      <c r="D176" s="796" t="s">
        <v>1638</v>
      </c>
      <c r="E176" s="796" t="s">
        <v>2226</v>
      </c>
      <c r="F176" s="796" t="s">
        <v>2226</v>
      </c>
      <c r="G176" s="796"/>
      <c r="H176" s="796"/>
      <c r="I176" s="796"/>
      <c r="J176" s="796"/>
      <c r="K176" s="796"/>
      <c r="L176" s="796"/>
      <c r="M176" s="796"/>
      <c r="N176" s="796"/>
      <c r="O176" s="796"/>
      <c r="P176" s="796"/>
      <c r="Q176" s="796"/>
      <c r="R176" s="796"/>
      <c r="S176" s="796" t="s">
        <v>1639</v>
      </c>
      <c r="T176" s="796" t="s">
        <v>2224</v>
      </c>
      <c r="U176" s="796" t="s">
        <v>2224</v>
      </c>
      <c r="V176" s="796"/>
      <c r="W176" s="796"/>
      <c r="X176" s="796"/>
      <c r="Y176" s="796" t="s">
        <v>1640</v>
      </c>
      <c r="Z176" s="796" t="s">
        <v>2221</v>
      </c>
      <c r="AA176" s="796" t="s">
        <v>2221</v>
      </c>
      <c r="AB176" s="796" t="s">
        <v>1641</v>
      </c>
      <c r="AC176" s="796" t="s">
        <v>2221</v>
      </c>
      <c r="AD176" s="796" t="s">
        <v>2221</v>
      </c>
      <c r="AE176" s="796"/>
      <c r="AF176" s="796"/>
      <c r="AG176" s="796"/>
      <c r="AH176" s="796"/>
      <c r="AI176" s="796"/>
      <c r="AJ176" s="796"/>
      <c r="AK176" s="796"/>
      <c r="AL176" s="796"/>
      <c r="AM176" s="796"/>
      <c r="AN176" s="796"/>
      <c r="AO176" s="796"/>
      <c r="AP176" s="796"/>
      <c r="AQ176" s="796"/>
      <c r="AR176" s="796"/>
      <c r="AS176" s="796"/>
      <c r="AT176" s="796"/>
      <c r="AU176" s="796"/>
    </row>
    <row r="177" spans="1:47" ht="13.5">
      <c r="A177" s="796" t="s">
        <v>1642</v>
      </c>
      <c r="B177" s="796" t="s">
        <v>2224</v>
      </c>
      <c r="C177" s="796" t="s">
        <v>2224</v>
      </c>
      <c r="D177" s="796" t="s">
        <v>1643</v>
      </c>
      <c r="E177" s="796" t="s">
        <v>2221</v>
      </c>
      <c r="F177" s="796" t="s">
        <v>2221</v>
      </c>
      <c r="G177" s="796"/>
      <c r="H177" s="796"/>
      <c r="I177" s="796"/>
      <c r="J177" s="796"/>
      <c r="K177" s="796"/>
      <c r="L177" s="796"/>
      <c r="M177" s="796"/>
      <c r="N177" s="796"/>
      <c r="O177" s="796"/>
      <c r="P177" s="796"/>
      <c r="Q177" s="796"/>
      <c r="R177" s="796"/>
      <c r="S177" s="796" t="s">
        <v>1644</v>
      </c>
      <c r="T177" s="796" t="s">
        <v>2222</v>
      </c>
      <c r="U177" s="796" t="s">
        <v>2222</v>
      </c>
      <c r="V177" s="796"/>
      <c r="W177" s="796"/>
      <c r="X177" s="796"/>
      <c r="Y177" s="796" t="s">
        <v>1645</v>
      </c>
      <c r="Z177" s="796" t="s">
        <v>2221</v>
      </c>
      <c r="AA177" s="796" t="s">
        <v>2221</v>
      </c>
      <c r="AB177" s="796" t="s">
        <v>1646</v>
      </c>
      <c r="AC177" s="796" t="s">
        <v>2222</v>
      </c>
      <c r="AD177" s="796" t="s">
        <v>2222</v>
      </c>
      <c r="AE177" s="796"/>
      <c r="AF177" s="796"/>
      <c r="AG177" s="796"/>
      <c r="AH177" s="796"/>
      <c r="AI177" s="796"/>
      <c r="AJ177" s="796"/>
      <c r="AK177" s="796"/>
      <c r="AL177" s="796"/>
      <c r="AM177" s="796"/>
      <c r="AN177" s="796"/>
      <c r="AO177" s="796"/>
      <c r="AP177" s="796"/>
      <c r="AQ177" s="796"/>
      <c r="AR177" s="796"/>
      <c r="AS177" s="796"/>
      <c r="AT177" s="796"/>
      <c r="AU177" s="796"/>
    </row>
    <row r="178" spans="1:47" ht="13.5">
      <c r="A178" s="796" t="s">
        <v>1647</v>
      </c>
      <c r="B178" s="796" t="s">
        <v>2221</v>
      </c>
      <c r="C178" s="796"/>
      <c r="D178" s="796" t="s">
        <v>1648</v>
      </c>
      <c r="E178" s="796" t="s">
        <v>2221</v>
      </c>
      <c r="F178" s="796" t="s">
        <v>2221</v>
      </c>
      <c r="G178" s="796"/>
      <c r="H178" s="796"/>
      <c r="I178" s="796"/>
      <c r="J178" s="796"/>
      <c r="K178" s="796"/>
      <c r="L178" s="796"/>
      <c r="M178" s="796"/>
      <c r="N178" s="796"/>
      <c r="O178" s="796"/>
      <c r="P178" s="796"/>
      <c r="Q178" s="796"/>
      <c r="R178" s="796"/>
      <c r="S178" s="796" t="s">
        <v>1649</v>
      </c>
      <c r="T178" s="796" t="s">
        <v>2222</v>
      </c>
      <c r="U178" s="796" t="s">
        <v>2222</v>
      </c>
      <c r="V178" s="796"/>
      <c r="W178" s="796"/>
      <c r="X178" s="796"/>
      <c r="Y178" s="796" t="s">
        <v>1650</v>
      </c>
      <c r="Z178" s="796" t="s">
        <v>2222</v>
      </c>
      <c r="AA178" s="796" t="s">
        <v>2222</v>
      </c>
      <c r="AB178" s="796" t="s">
        <v>1651</v>
      </c>
      <c r="AC178" s="796" t="s">
        <v>2221</v>
      </c>
      <c r="AD178" s="796" t="s">
        <v>2221</v>
      </c>
      <c r="AE178" s="796"/>
      <c r="AF178" s="796"/>
      <c r="AG178" s="796"/>
      <c r="AH178" s="796"/>
      <c r="AI178" s="796"/>
      <c r="AJ178" s="796"/>
      <c r="AK178" s="796"/>
      <c r="AL178" s="796"/>
      <c r="AM178" s="796"/>
      <c r="AN178" s="796"/>
      <c r="AO178" s="796"/>
      <c r="AP178" s="796"/>
      <c r="AQ178" s="796"/>
      <c r="AR178" s="796"/>
      <c r="AS178" s="796"/>
      <c r="AT178" s="796"/>
      <c r="AU178" s="796"/>
    </row>
    <row r="179" spans="1:47" ht="13.5">
      <c r="A179" s="796" t="s">
        <v>1652</v>
      </c>
      <c r="B179" s="796" t="s">
        <v>2224</v>
      </c>
      <c r="C179" s="796" t="s">
        <v>2223</v>
      </c>
      <c r="D179" s="796" t="s">
        <v>1653</v>
      </c>
      <c r="E179" s="796" t="s">
        <v>2222</v>
      </c>
      <c r="F179" s="796" t="s">
        <v>2222</v>
      </c>
      <c r="G179" s="796"/>
      <c r="H179" s="796"/>
      <c r="I179" s="796"/>
      <c r="J179" s="796"/>
      <c r="K179" s="796"/>
      <c r="L179" s="796"/>
      <c r="M179" s="796"/>
      <c r="N179" s="796"/>
      <c r="O179" s="796"/>
      <c r="P179" s="796"/>
      <c r="Q179" s="796"/>
      <c r="R179" s="796"/>
      <c r="S179" s="796" t="s">
        <v>1654</v>
      </c>
      <c r="T179" s="796" t="s">
        <v>2221</v>
      </c>
      <c r="U179" s="796" t="s">
        <v>2222</v>
      </c>
      <c r="V179" s="796"/>
      <c r="W179" s="796"/>
      <c r="X179" s="796"/>
      <c r="Y179" s="796" t="s">
        <v>1655</v>
      </c>
      <c r="Z179" s="796" t="s">
        <v>2224</v>
      </c>
      <c r="AA179" s="796" t="s">
        <v>2224</v>
      </c>
      <c r="AB179" s="796" t="s">
        <v>1656</v>
      </c>
      <c r="AC179" s="796" t="s">
        <v>2222</v>
      </c>
      <c r="AD179" s="796" t="s">
        <v>2222</v>
      </c>
      <c r="AE179" s="796"/>
      <c r="AF179" s="796"/>
      <c r="AG179" s="796"/>
      <c r="AH179" s="796"/>
      <c r="AI179" s="796"/>
      <c r="AJ179" s="796"/>
      <c r="AK179" s="796"/>
      <c r="AL179" s="796"/>
      <c r="AM179" s="796"/>
      <c r="AN179" s="796"/>
      <c r="AO179" s="796"/>
      <c r="AP179" s="796"/>
      <c r="AQ179" s="796"/>
      <c r="AR179" s="796"/>
      <c r="AS179" s="796"/>
      <c r="AT179" s="796"/>
      <c r="AU179" s="796"/>
    </row>
    <row r="180" spans="1:47" ht="13.5">
      <c r="A180" s="796" t="s">
        <v>1657</v>
      </c>
      <c r="B180" s="796" t="s">
        <v>2225</v>
      </c>
      <c r="C180" s="796" t="s">
        <v>2225</v>
      </c>
      <c r="D180" s="796" t="s">
        <v>1658</v>
      </c>
      <c r="E180" s="796" t="s">
        <v>2221</v>
      </c>
      <c r="F180" s="796" t="s">
        <v>2221</v>
      </c>
      <c r="G180" s="796"/>
      <c r="H180" s="796"/>
      <c r="I180" s="796"/>
      <c r="J180" s="796"/>
      <c r="K180" s="796"/>
      <c r="L180" s="796"/>
      <c r="M180" s="796"/>
      <c r="N180" s="796"/>
      <c r="O180" s="796"/>
      <c r="P180" s="796"/>
      <c r="Q180" s="796"/>
      <c r="R180" s="796"/>
      <c r="S180" s="796" t="s">
        <v>1659</v>
      </c>
      <c r="T180" s="796" t="s">
        <v>2225</v>
      </c>
      <c r="U180" s="796" t="s">
        <v>2225</v>
      </c>
      <c r="V180" s="796"/>
      <c r="W180" s="796"/>
      <c r="X180" s="796"/>
      <c r="Y180" s="796" t="s">
        <v>1660</v>
      </c>
      <c r="Z180" s="796" t="s">
        <v>2223</v>
      </c>
      <c r="AA180" s="796" t="s">
        <v>2223</v>
      </c>
      <c r="AB180" s="796" t="s">
        <v>1661</v>
      </c>
      <c r="AC180" s="796" t="s">
        <v>2221</v>
      </c>
      <c r="AD180" s="796" t="s">
        <v>2221</v>
      </c>
      <c r="AE180" s="796"/>
      <c r="AF180" s="796"/>
      <c r="AG180" s="796"/>
      <c r="AH180" s="796"/>
      <c r="AI180" s="796"/>
      <c r="AJ180" s="796"/>
      <c r="AK180" s="796"/>
      <c r="AL180" s="796"/>
      <c r="AM180" s="796"/>
      <c r="AN180" s="796"/>
      <c r="AO180" s="796"/>
      <c r="AP180" s="796"/>
      <c r="AQ180" s="796"/>
      <c r="AR180" s="796"/>
      <c r="AS180" s="796"/>
      <c r="AT180" s="796"/>
      <c r="AU180" s="796"/>
    </row>
    <row r="181" spans="1:47" ht="13.5">
      <c r="A181" s="796" t="s">
        <v>1662</v>
      </c>
      <c r="B181" s="796" t="s">
        <v>2223</v>
      </c>
      <c r="C181" s="796" t="s">
        <v>2223</v>
      </c>
      <c r="D181" s="796" t="s">
        <v>1663</v>
      </c>
      <c r="E181" s="796" t="s">
        <v>2223</v>
      </c>
      <c r="F181" s="796" t="s">
        <v>2223</v>
      </c>
      <c r="G181" s="796"/>
      <c r="H181" s="796"/>
      <c r="I181" s="796"/>
      <c r="J181" s="796"/>
      <c r="K181" s="796"/>
      <c r="L181" s="796"/>
      <c r="M181" s="796"/>
      <c r="N181" s="796"/>
      <c r="O181" s="796"/>
      <c r="P181" s="796"/>
      <c r="Q181" s="796"/>
      <c r="R181" s="796"/>
      <c r="S181" s="796" t="s">
        <v>1664</v>
      </c>
      <c r="T181" s="796" t="s">
        <v>2224</v>
      </c>
      <c r="U181" s="796" t="s">
        <v>2224</v>
      </c>
      <c r="V181" s="796"/>
      <c r="W181" s="796"/>
      <c r="X181" s="796"/>
      <c r="Y181" s="796" t="s">
        <v>1665</v>
      </c>
      <c r="Z181" s="796" t="s">
        <v>2224</v>
      </c>
      <c r="AA181" s="796" t="s">
        <v>2224</v>
      </c>
      <c r="AB181" s="796" t="s">
        <v>1666</v>
      </c>
      <c r="AC181" s="796" t="s">
        <v>2221</v>
      </c>
      <c r="AD181" s="796" t="s">
        <v>2222</v>
      </c>
      <c r="AE181" s="796"/>
      <c r="AF181" s="796"/>
      <c r="AG181" s="796"/>
      <c r="AH181" s="796"/>
      <c r="AI181" s="796"/>
      <c r="AJ181" s="796"/>
      <c r="AK181" s="796"/>
      <c r="AL181" s="796"/>
      <c r="AM181" s="796"/>
      <c r="AN181" s="796"/>
      <c r="AO181" s="796"/>
      <c r="AP181" s="796"/>
      <c r="AQ181" s="796"/>
      <c r="AR181" s="796"/>
      <c r="AS181" s="796"/>
      <c r="AT181" s="796"/>
      <c r="AU181" s="796"/>
    </row>
    <row r="182" spans="1:47" ht="13.5">
      <c r="A182" s="796" t="s">
        <v>1667</v>
      </c>
      <c r="B182" s="796" t="s">
        <v>2224</v>
      </c>
      <c r="C182" s="796" t="s">
        <v>2224</v>
      </c>
      <c r="D182" s="796" t="s">
        <v>1668</v>
      </c>
      <c r="E182" s="796" t="s">
        <v>2221</v>
      </c>
      <c r="F182" s="796" t="s">
        <v>2221</v>
      </c>
      <c r="G182" s="796"/>
      <c r="H182" s="796"/>
      <c r="I182" s="796"/>
      <c r="J182" s="796"/>
      <c r="K182" s="796"/>
      <c r="L182" s="796"/>
      <c r="M182" s="796"/>
      <c r="N182" s="796"/>
      <c r="O182" s="796"/>
      <c r="P182" s="796"/>
      <c r="Q182" s="796"/>
      <c r="R182" s="796"/>
      <c r="S182" s="796" t="s">
        <v>1669</v>
      </c>
      <c r="T182" s="796" t="s">
        <v>2224</v>
      </c>
      <c r="U182" s="796" t="s">
        <v>2225</v>
      </c>
      <c r="V182" s="796"/>
      <c r="W182" s="796"/>
      <c r="X182" s="796"/>
      <c r="Y182" s="796" t="s">
        <v>1670</v>
      </c>
      <c r="Z182" s="796" t="s">
        <v>2223</v>
      </c>
      <c r="AA182" s="796" t="s">
        <v>2223</v>
      </c>
      <c r="AB182" s="796" t="s">
        <v>1671</v>
      </c>
      <c r="AC182" s="796" t="s">
        <v>2222</v>
      </c>
      <c r="AD182" s="796" t="s">
        <v>2222</v>
      </c>
      <c r="AE182" s="796"/>
      <c r="AF182" s="796"/>
      <c r="AG182" s="796"/>
      <c r="AH182" s="796"/>
      <c r="AI182" s="796"/>
      <c r="AJ182" s="796"/>
      <c r="AK182" s="796"/>
      <c r="AL182" s="796"/>
      <c r="AM182" s="796"/>
      <c r="AN182" s="796"/>
      <c r="AO182" s="796"/>
      <c r="AP182" s="796"/>
      <c r="AQ182" s="796"/>
      <c r="AR182" s="796"/>
      <c r="AS182" s="796"/>
      <c r="AT182" s="796"/>
      <c r="AU182" s="796"/>
    </row>
    <row r="183" spans="1:47" ht="13.5">
      <c r="A183" s="796" t="s">
        <v>1672</v>
      </c>
      <c r="B183" s="796" t="s">
        <v>2223</v>
      </c>
      <c r="C183" s="796" t="s">
        <v>2223</v>
      </c>
      <c r="D183" s="796" t="s">
        <v>1673</v>
      </c>
      <c r="E183" s="796" t="s">
        <v>2221</v>
      </c>
      <c r="F183" s="796" t="s">
        <v>2221</v>
      </c>
      <c r="G183" s="796"/>
      <c r="H183" s="796"/>
      <c r="I183" s="796"/>
      <c r="J183" s="796"/>
      <c r="K183" s="796"/>
      <c r="L183" s="796"/>
      <c r="M183" s="796"/>
      <c r="N183" s="796"/>
      <c r="O183" s="796"/>
      <c r="P183" s="796"/>
      <c r="Q183" s="796"/>
      <c r="R183" s="796"/>
      <c r="S183" s="796" t="s">
        <v>1674</v>
      </c>
      <c r="T183" s="796" t="s">
        <v>2224</v>
      </c>
      <c r="U183" s="796" t="s">
        <v>2224</v>
      </c>
      <c r="V183" s="796"/>
      <c r="W183" s="796"/>
      <c r="X183" s="796"/>
      <c r="Y183" s="796" t="s">
        <v>1675</v>
      </c>
      <c r="Z183" s="796" t="s">
        <v>2222</v>
      </c>
      <c r="AA183" s="796" t="s">
        <v>2223</v>
      </c>
      <c r="AB183" s="796" t="s">
        <v>1676</v>
      </c>
      <c r="AC183" s="796" t="s">
        <v>2221</v>
      </c>
      <c r="AD183" s="796" t="s">
        <v>2221</v>
      </c>
      <c r="AE183" s="796"/>
      <c r="AF183" s="796"/>
      <c r="AG183" s="796"/>
      <c r="AH183" s="796"/>
      <c r="AI183" s="796"/>
      <c r="AJ183" s="796"/>
      <c r="AK183" s="796"/>
      <c r="AL183" s="796"/>
      <c r="AM183" s="796"/>
      <c r="AN183" s="796"/>
      <c r="AO183" s="796"/>
      <c r="AP183" s="796"/>
      <c r="AQ183" s="796"/>
      <c r="AR183" s="796"/>
      <c r="AS183" s="796"/>
      <c r="AT183" s="796"/>
      <c r="AU183" s="796"/>
    </row>
    <row r="184" spans="1:47" ht="13.5">
      <c r="A184" s="796" t="s">
        <v>1677</v>
      </c>
      <c r="B184" s="796" t="s">
        <v>2224</v>
      </c>
      <c r="C184" s="796" t="s">
        <v>2224</v>
      </c>
      <c r="D184" s="796" t="s">
        <v>1678</v>
      </c>
      <c r="E184" s="796" t="s">
        <v>2222</v>
      </c>
      <c r="F184" s="796" t="s">
        <v>2222</v>
      </c>
      <c r="G184" s="796"/>
      <c r="H184" s="796"/>
      <c r="I184" s="796"/>
      <c r="J184" s="796"/>
      <c r="K184" s="796"/>
      <c r="L184" s="796"/>
      <c r="M184" s="796"/>
      <c r="N184" s="796"/>
      <c r="O184" s="796"/>
      <c r="P184" s="796"/>
      <c r="Q184" s="796"/>
      <c r="R184" s="796"/>
      <c r="S184" s="796" t="s">
        <v>1679</v>
      </c>
      <c r="T184" s="796" t="s">
        <v>2222</v>
      </c>
      <c r="U184" s="796" t="s">
        <v>2222</v>
      </c>
      <c r="V184" s="796"/>
      <c r="W184" s="796"/>
      <c r="X184" s="796"/>
      <c r="Y184" s="796" t="s">
        <v>1680</v>
      </c>
      <c r="Z184" s="796" t="s">
        <v>2222</v>
      </c>
      <c r="AA184" s="796" t="s">
        <v>2223</v>
      </c>
      <c r="AB184" s="796" t="s">
        <v>1681</v>
      </c>
      <c r="AC184" s="796" t="s">
        <v>2221</v>
      </c>
      <c r="AD184" s="796" t="s">
        <v>2222</v>
      </c>
      <c r="AE184" s="796"/>
      <c r="AF184" s="796"/>
      <c r="AG184" s="796"/>
      <c r="AH184" s="796"/>
      <c r="AI184" s="796"/>
      <c r="AJ184" s="796"/>
      <c r="AK184" s="796"/>
      <c r="AL184" s="796"/>
      <c r="AM184" s="796"/>
      <c r="AN184" s="796"/>
      <c r="AO184" s="796"/>
      <c r="AP184" s="796"/>
      <c r="AQ184" s="796"/>
      <c r="AR184" s="796"/>
      <c r="AS184" s="796"/>
      <c r="AT184" s="796"/>
      <c r="AU184" s="796"/>
    </row>
    <row r="185" spans="1:47" ht="13.5">
      <c r="A185" s="796" t="s">
        <v>1682</v>
      </c>
      <c r="B185" s="796" t="s">
        <v>2222</v>
      </c>
      <c r="C185" s="796" t="s">
        <v>2222</v>
      </c>
      <c r="D185" s="796" t="s">
        <v>1683</v>
      </c>
      <c r="E185" s="796" t="s">
        <v>2222</v>
      </c>
      <c r="F185" s="796" t="s">
        <v>2221</v>
      </c>
      <c r="G185" s="796"/>
      <c r="H185" s="796"/>
      <c r="I185" s="796"/>
      <c r="J185" s="796"/>
      <c r="K185" s="796"/>
      <c r="L185" s="796"/>
      <c r="M185" s="796"/>
      <c r="N185" s="796"/>
      <c r="O185" s="796"/>
      <c r="P185" s="796"/>
      <c r="Q185" s="796"/>
      <c r="R185" s="796"/>
      <c r="S185" s="796" t="s">
        <v>1684</v>
      </c>
      <c r="T185" s="796" t="s">
        <v>2223</v>
      </c>
      <c r="U185" s="796" t="s">
        <v>2224</v>
      </c>
      <c r="V185" s="796"/>
      <c r="W185" s="796"/>
      <c r="X185" s="796"/>
      <c r="Y185" s="796" t="s">
        <v>1685</v>
      </c>
      <c r="Z185" s="796" t="s">
        <v>2222</v>
      </c>
      <c r="AA185" s="796" t="s">
        <v>2221</v>
      </c>
      <c r="AB185" s="796" t="s">
        <v>1686</v>
      </c>
      <c r="AC185" s="796" t="s">
        <v>2222</v>
      </c>
      <c r="AD185" s="796" t="s">
        <v>2222</v>
      </c>
      <c r="AE185" s="796"/>
      <c r="AF185" s="796"/>
      <c r="AG185" s="796"/>
      <c r="AH185" s="796"/>
      <c r="AI185" s="796"/>
      <c r="AJ185" s="796"/>
      <c r="AK185" s="796"/>
      <c r="AL185" s="796"/>
      <c r="AM185" s="796"/>
      <c r="AN185" s="796"/>
      <c r="AO185" s="796"/>
      <c r="AP185" s="796"/>
      <c r="AQ185" s="796"/>
      <c r="AR185" s="796"/>
      <c r="AS185" s="796"/>
      <c r="AT185" s="796"/>
      <c r="AU185" s="796"/>
    </row>
    <row r="186" spans="1:47" ht="13.5">
      <c r="A186" s="796" t="s">
        <v>1687</v>
      </c>
      <c r="B186" s="796" t="s">
        <v>2222</v>
      </c>
      <c r="C186" s="796" t="s">
        <v>2222</v>
      </c>
      <c r="D186" s="796" t="s">
        <v>1688</v>
      </c>
      <c r="E186" s="796" t="s">
        <v>2222</v>
      </c>
      <c r="F186" s="796" t="s">
        <v>2222</v>
      </c>
      <c r="G186" s="796"/>
      <c r="H186" s="796"/>
      <c r="I186" s="796"/>
      <c r="J186" s="796"/>
      <c r="K186" s="796"/>
      <c r="L186" s="796"/>
      <c r="M186" s="796"/>
      <c r="N186" s="796"/>
      <c r="O186" s="796"/>
      <c r="P186" s="796"/>
      <c r="Q186" s="796"/>
      <c r="R186" s="796"/>
      <c r="S186" s="796" t="s">
        <v>1689</v>
      </c>
      <c r="T186" s="796" t="s">
        <v>2222</v>
      </c>
      <c r="U186" s="796" t="s">
        <v>2223</v>
      </c>
      <c r="V186" s="796"/>
      <c r="W186" s="796"/>
      <c r="X186" s="796"/>
      <c r="Y186" s="796" t="s">
        <v>1690</v>
      </c>
      <c r="Z186" s="796" t="s">
        <v>2221</v>
      </c>
      <c r="AA186" s="796" t="s">
        <v>2221</v>
      </c>
      <c r="AB186" s="796" t="s">
        <v>1691</v>
      </c>
      <c r="AC186" s="796" t="s">
        <v>2222</v>
      </c>
      <c r="AD186" s="796" t="s">
        <v>2222</v>
      </c>
      <c r="AE186" s="796"/>
      <c r="AF186" s="796"/>
      <c r="AG186" s="796"/>
      <c r="AH186" s="796"/>
      <c r="AI186" s="796"/>
      <c r="AJ186" s="796"/>
      <c r="AK186" s="796"/>
      <c r="AL186" s="796"/>
      <c r="AM186" s="796"/>
      <c r="AN186" s="796"/>
      <c r="AO186" s="796"/>
      <c r="AP186" s="796"/>
      <c r="AQ186" s="796"/>
      <c r="AR186" s="796"/>
      <c r="AS186" s="796"/>
      <c r="AT186" s="796"/>
      <c r="AU186" s="796"/>
    </row>
    <row r="187" spans="1:47" ht="13.5">
      <c r="A187" s="796" t="s">
        <v>1692</v>
      </c>
      <c r="B187" s="796" t="s">
        <v>2224</v>
      </c>
      <c r="C187" s="796" t="s">
        <v>2224</v>
      </c>
      <c r="D187" s="796" t="s">
        <v>1693</v>
      </c>
      <c r="E187" s="796" t="s">
        <v>2221</v>
      </c>
      <c r="F187" s="796" t="s">
        <v>2221</v>
      </c>
      <c r="G187" s="796"/>
      <c r="H187" s="796"/>
      <c r="I187" s="796"/>
      <c r="J187" s="796"/>
      <c r="K187" s="796"/>
      <c r="L187" s="796"/>
      <c r="M187" s="796"/>
      <c r="N187" s="796"/>
      <c r="O187" s="796"/>
      <c r="P187" s="796"/>
      <c r="Q187" s="796"/>
      <c r="R187" s="796"/>
      <c r="S187" s="796" t="s">
        <v>1694</v>
      </c>
      <c r="T187" s="796" t="s">
        <v>2222</v>
      </c>
      <c r="U187" s="796" t="s">
        <v>2222</v>
      </c>
      <c r="V187" s="796"/>
      <c r="W187" s="796"/>
      <c r="X187" s="796"/>
      <c r="Y187" s="796" t="s">
        <v>1695</v>
      </c>
      <c r="Z187" s="796" t="s">
        <v>2221</v>
      </c>
      <c r="AA187" s="796" t="s">
        <v>2221</v>
      </c>
      <c r="AB187" s="796" t="s">
        <v>1696</v>
      </c>
      <c r="AC187" s="796" t="s">
        <v>2222</v>
      </c>
      <c r="AD187" s="796" t="s">
        <v>2222</v>
      </c>
      <c r="AE187" s="796"/>
      <c r="AF187" s="796"/>
      <c r="AG187" s="796"/>
      <c r="AH187" s="796"/>
      <c r="AI187" s="796"/>
      <c r="AJ187" s="796"/>
      <c r="AK187" s="796"/>
      <c r="AL187" s="796"/>
      <c r="AM187" s="796"/>
      <c r="AN187" s="796"/>
      <c r="AO187" s="796"/>
      <c r="AP187" s="796"/>
      <c r="AQ187" s="796"/>
      <c r="AR187" s="796"/>
      <c r="AS187" s="796"/>
      <c r="AT187" s="796"/>
      <c r="AU187" s="796"/>
    </row>
    <row r="188" spans="1:47" ht="13.5">
      <c r="A188" s="796" t="s">
        <v>1697</v>
      </c>
      <c r="B188" s="796" t="s">
        <v>2224</v>
      </c>
      <c r="C188" s="796" t="s">
        <v>2225</v>
      </c>
      <c r="D188" s="796" t="s">
        <v>1698</v>
      </c>
      <c r="E188" s="796" t="s">
        <v>2221</v>
      </c>
      <c r="F188" s="796" t="s">
        <v>2221</v>
      </c>
      <c r="G188" s="796"/>
      <c r="H188" s="796"/>
      <c r="I188" s="796"/>
      <c r="J188" s="796"/>
      <c r="K188" s="796"/>
      <c r="L188" s="796"/>
      <c r="M188" s="796"/>
      <c r="N188" s="796"/>
      <c r="O188" s="796"/>
      <c r="P188" s="796"/>
      <c r="Q188" s="796"/>
      <c r="R188" s="796"/>
      <c r="S188" s="796" t="s">
        <v>1699</v>
      </c>
      <c r="T188" s="796" t="s">
        <v>2221</v>
      </c>
      <c r="U188" s="796" t="s">
        <v>2222</v>
      </c>
      <c r="V188" s="796"/>
      <c r="W188" s="796"/>
      <c r="X188" s="796"/>
      <c r="Y188" s="796" t="s">
        <v>1700</v>
      </c>
      <c r="Z188" s="796" t="s">
        <v>2221</v>
      </c>
      <c r="AA188" s="796" t="s">
        <v>2222</v>
      </c>
      <c r="AB188" s="796" t="s">
        <v>1701</v>
      </c>
      <c r="AC188" s="796" t="s">
        <v>2223</v>
      </c>
      <c r="AD188" s="796" t="s">
        <v>2224</v>
      </c>
      <c r="AE188" s="796"/>
      <c r="AF188" s="796"/>
      <c r="AG188" s="796"/>
      <c r="AH188" s="796"/>
      <c r="AI188" s="796"/>
      <c r="AJ188" s="796"/>
      <c r="AK188" s="796"/>
      <c r="AL188" s="796"/>
      <c r="AM188" s="796"/>
      <c r="AN188" s="796"/>
      <c r="AO188" s="796"/>
      <c r="AP188" s="796"/>
      <c r="AQ188" s="796"/>
      <c r="AR188" s="796"/>
      <c r="AS188" s="796"/>
      <c r="AT188" s="796"/>
      <c r="AU188" s="796"/>
    </row>
    <row r="189" spans="1:47" ht="13.5">
      <c r="A189" s="796" t="s">
        <v>1702</v>
      </c>
      <c r="B189" s="796" t="s">
        <v>2223</v>
      </c>
      <c r="C189" s="796" t="s">
        <v>2224</v>
      </c>
      <c r="D189" s="796" t="s">
        <v>1703</v>
      </c>
      <c r="E189" s="796" t="s">
        <v>2225</v>
      </c>
      <c r="F189" s="796" t="s">
        <v>2224</v>
      </c>
      <c r="G189" s="796"/>
      <c r="H189" s="796"/>
      <c r="I189" s="796"/>
      <c r="J189" s="796"/>
      <c r="K189" s="796"/>
      <c r="L189" s="796"/>
      <c r="M189" s="796"/>
      <c r="N189" s="796"/>
      <c r="O189" s="796"/>
      <c r="P189" s="796"/>
      <c r="Q189" s="796"/>
      <c r="R189" s="796"/>
      <c r="S189" s="796" t="s">
        <v>1704</v>
      </c>
      <c r="T189" s="796" t="s">
        <v>2225</v>
      </c>
      <c r="U189" s="796" t="s">
        <v>2225</v>
      </c>
      <c r="V189" s="796"/>
      <c r="W189" s="796"/>
      <c r="X189" s="796"/>
      <c r="Y189" s="796" t="s">
        <v>1705</v>
      </c>
      <c r="Z189" s="796" t="s">
        <v>2222</v>
      </c>
      <c r="AA189" s="796" t="s">
        <v>2222</v>
      </c>
      <c r="AB189" s="796" t="s">
        <v>1706</v>
      </c>
      <c r="AC189" s="796" t="s">
        <v>2222</v>
      </c>
      <c r="AD189" s="796" t="s">
        <v>2222</v>
      </c>
      <c r="AE189" s="796"/>
      <c r="AF189" s="796"/>
      <c r="AG189" s="796"/>
      <c r="AH189" s="796"/>
      <c r="AI189" s="796"/>
      <c r="AJ189" s="796"/>
      <c r="AK189" s="796"/>
      <c r="AL189" s="796"/>
      <c r="AM189" s="796"/>
      <c r="AN189" s="796"/>
      <c r="AO189" s="796"/>
      <c r="AP189" s="796"/>
      <c r="AQ189" s="796"/>
      <c r="AR189" s="796"/>
      <c r="AS189" s="796"/>
      <c r="AT189" s="796"/>
      <c r="AU189" s="796"/>
    </row>
    <row r="190" spans="1:47" ht="13.5">
      <c r="A190" s="796" t="s">
        <v>1707</v>
      </c>
      <c r="B190" s="796" t="s">
        <v>2224</v>
      </c>
      <c r="C190" s="796" t="s">
        <v>2224</v>
      </c>
      <c r="D190" s="796" t="s">
        <v>1708</v>
      </c>
      <c r="E190" s="796" t="s">
        <v>2224</v>
      </c>
      <c r="F190" s="796" t="s">
        <v>2223</v>
      </c>
      <c r="G190" s="796"/>
      <c r="H190" s="796"/>
      <c r="I190" s="796"/>
      <c r="J190" s="796"/>
      <c r="K190" s="796"/>
      <c r="L190" s="796"/>
      <c r="M190" s="796"/>
      <c r="N190" s="796"/>
      <c r="O190" s="796"/>
      <c r="P190" s="796"/>
      <c r="Q190" s="796"/>
      <c r="R190" s="796"/>
      <c r="S190" s="796" t="s">
        <v>1709</v>
      </c>
      <c r="T190" s="796" t="s">
        <v>2223</v>
      </c>
      <c r="U190" s="796" t="s">
        <v>2223</v>
      </c>
      <c r="V190" s="796"/>
      <c r="W190" s="796"/>
      <c r="X190" s="796"/>
      <c r="Y190" s="796" t="s">
        <v>1710</v>
      </c>
      <c r="Z190" s="796" t="s">
        <v>2221</v>
      </c>
      <c r="AA190" s="796" t="s">
        <v>2221</v>
      </c>
      <c r="AB190" s="796" t="s">
        <v>1711</v>
      </c>
      <c r="AC190" s="796" t="s">
        <v>2224</v>
      </c>
      <c r="AD190" s="796" t="s">
        <v>2224</v>
      </c>
      <c r="AE190" s="796"/>
      <c r="AF190" s="796"/>
      <c r="AG190" s="796"/>
      <c r="AH190" s="796"/>
      <c r="AI190" s="796"/>
      <c r="AJ190" s="796"/>
      <c r="AK190" s="796"/>
      <c r="AL190" s="796"/>
      <c r="AM190" s="796"/>
      <c r="AN190" s="796"/>
      <c r="AO190" s="796"/>
      <c r="AP190" s="796"/>
      <c r="AQ190" s="796"/>
      <c r="AR190" s="796"/>
      <c r="AS190" s="796"/>
      <c r="AT190" s="796"/>
      <c r="AU190" s="796"/>
    </row>
    <row r="191" spans="1:47" ht="13.5">
      <c r="A191" s="796" t="s">
        <v>1712</v>
      </c>
      <c r="B191" s="796" t="s">
        <v>2225</v>
      </c>
      <c r="C191" s="796" t="s">
        <v>2224</v>
      </c>
      <c r="D191" s="796" t="s">
        <v>1713</v>
      </c>
      <c r="E191" s="796" t="s">
        <v>2222</v>
      </c>
      <c r="F191" s="796" t="s">
        <v>2222</v>
      </c>
      <c r="G191" s="796"/>
      <c r="H191" s="796"/>
      <c r="I191" s="796"/>
      <c r="J191" s="796"/>
      <c r="K191" s="796"/>
      <c r="L191" s="796"/>
      <c r="M191" s="796"/>
      <c r="N191" s="796"/>
      <c r="O191" s="796"/>
      <c r="P191" s="796"/>
      <c r="Q191" s="796"/>
      <c r="R191" s="796"/>
      <c r="S191" s="796" t="s">
        <v>1714</v>
      </c>
      <c r="T191" s="796" t="s">
        <v>2223</v>
      </c>
      <c r="U191" s="796" t="s">
        <v>2223</v>
      </c>
      <c r="V191" s="796"/>
      <c r="W191" s="796"/>
      <c r="X191" s="796"/>
      <c r="Y191" s="796" t="s">
        <v>1715</v>
      </c>
      <c r="Z191" s="796" t="s">
        <v>2221</v>
      </c>
      <c r="AA191" s="796" t="s">
        <v>2221</v>
      </c>
      <c r="AB191" s="796" t="s">
        <v>1716</v>
      </c>
      <c r="AC191" s="796" t="s">
        <v>2222</v>
      </c>
      <c r="AD191" s="796" t="s">
        <v>2222</v>
      </c>
      <c r="AE191" s="796"/>
      <c r="AF191" s="796"/>
      <c r="AG191" s="796"/>
      <c r="AH191" s="796"/>
      <c r="AI191" s="796"/>
      <c r="AJ191" s="796"/>
      <c r="AK191" s="796"/>
      <c r="AL191" s="796"/>
      <c r="AM191" s="796"/>
      <c r="AN191" s="796"/>
      <c r="AO191" s="796"/>
      <c r="AP191" s="796"/>
      <c r="AQ191" s="796"/>
      <c r="AR191" s="796"/>
      <c r="AS191" s="796"/>
      <c r="AT191" s="796"/>
      <c r="AU191" s="796"/>
    </row>
    <row r="192" spans="1:47" ht="13.5">
      <c r="A192" s="796" t="s">
        <v>1717</v>
      </c>
      <c r="B192" s="796" t="s">
        <v>2223</v>
      </c>
      <c r="C192" s="796" t="s">
        <v>2224</v>
      </c>
      <c r="D192" s="796" t="s">
        <v>1718</v>
      </c>
      <c r="E192" s="796" t="s">
        <v>2223</v>
      </c>
      <c r="F192" s="796" t="s">
        <v>2223</v>
      </c>
      <c r="G192" s="796"/>
      <c r="H192" s="796"/>
      <c r="I192" s="796"/>
      <c r="J192" s="796"/>
      <c r="K192" s="796"/>
      <c r="L192" s="796"/>
      <c r="M192" s="796"/>
      <c r="N192" s="796"/>
      <c r="O192" s="796"/>
      <c r="P192" s="796"/>
      <c r="Q192" s="796"/>
      <c r="R192" s="796"/>
      <c r="S192" s="796" t="s">
        <v>1719</v>
      </c>
      <c r="T192" s="796" t="s">
        <v>2226</v>
      </c>
      <c r="U192" s="796" t="s">
        <v>2226</v>
      </c>
      <c r="V192" s="796"/>
      <c r="W192" s="796"/>
      <c r="X192" s="796"/>
      <c r="Y192" s="796" t="s">
        <v>1720</v>
      </c>
      <c r="Z192" s="796" t="s">
        <v>2221</v>
      </c>
      <c r="AA192" s="796" t="s">
        <v>2221</v>
      </c>
      <c r="AB192" s="796" t="s">
        <v>1721</v>
      </c>
      <c r="AC192" s="796" t="s">
        <v>2224</v>
      </c>
      <c r="AD192" s="796" t="s">
        <v>2224</v>
      </c>
      <c r="AE192" s="796"/>
      <c r="AF192" s="796"/>
      <c r="AG192" s="796"/>
      <c r="AH192" s="796"/>
      <c r="AI192" s="796"/>
      <c r="AJ192" s="796"/>
      <c r="AK192" s="796"/>
      <c r="AL192" s="796"/>
      <c r="AM192" s="796"/>
      <c r="AN192" s="796"/>
      <c r="AO192" s="796"/>
      <c r="AP192" s="796"/>
      <c r="AQ192" s="796"/>
      <c r="AR192" s="796"/>
      <c r="AS192" s="796"/>
      <c r="AT192" s="796"/>
      <c r="AU192" s="796"/>
    </row>
    <row r="193" spans="1:47" ht="13.5">
      <c r="A193" s="796" t="s">
        <v>1722</v>
      </c>
      <c r="B193" s="796" t="s">
        <v>2224</v>
      </c>
      <c r="C193" s="796" t="s">
        <v>2224</v>
      </c>
      <c r="D193" s="796" t="s">
        <v>1723</v>
      </c>
      <c r="E193" s="796" t="s">
        <v>2224</v>
      </c>
      <c r="F193" s="796" t="s">
        <v>2224</v>
      </c>
      <c r="G193" s="796"/>
      <c r="H193" s="796"/>
      <c r="I193" s="796"/>
      <c r="J193" s="796"/>
      <c r="K193" s="796"/>
      <c r="L193" s="796"/>
      <c r="M193" s="796"/>
      <c r="N193" s="796"/>
      <c r="O193" s="796"/>
      <c r="P193" s="796"/>
      <c r="Q193" s="796"/>
      <c r="R193" s="796"/>
      <c r="S193" s="796" t="s">
        <v>1724</v>
      </c>
      <c r="T193" s="796" t="s">
        <v>2221</v>
      </c>
      <c r="U193" s="796" t="s">
        <v>2221</v>
      </c>
      <c r="V193" s="796"/>
      <c r="W193" s="796"/>
      <c r="X193" s="796"/>
      <c r="Y193" s="796" t="s">
        <v>1725</v>
      </c>
      <c r="Z193" s="796" t="s">
        <v>2222</v>
      </c>
      <c r="AA193" s="796" t="s">
        <v>2222</v>
      </c>
      <c r="AB193" s="796" t="s">
        <v>1726</v>
      </c>
      <c r="AC193" s="796" t="s">
        <v>2222</v>
      </c>
      <c r="AD193" s="796" t="s">
        <v>2222</v>
      </c>
      <c r="AE193" s="796"/>
      <c r="AF193" s="796"/>
      <c r="AG193" s="796"/>
      <c r="AH193" s="796"/>
      <c r="AI193" s="796"/>
      <c r="AJ193" s="796"/>
      <c r="AK193" s="796"/>
      <c r="AL193" s="796"/>
      <c r="AM193" s="796"/>
      <c r="AN193" s="796"/>
      <c r="AO193" s="796"/>
      <c r="AP193" s="796"/>
      <c r="AQ193" s="796"/>
      <c r="AR193" s="796"/>
      <c r="AS193" s="796"/>
      <c r="AT193" s="796"/>
      <c r="AU193" s="796"/>
    </row>
    <row r="194" spans="1:47" ht="13.5">
      <c r="A194" s="796" t="s">
        <v>1727</v>
      </c>
      <c r="B194" s="796" t="s">
        <v>2225</v>
      </c>
      <c r="C194" s="796" t="s">
        <v>2225</v>
      </c>
      <c r="D194" s="796" t="s">
        <v>1728</v>
      </c>
      <c r="E194" s="796" t="s">
        <v>2221</v>
      </c>
      <c r="F194" s="796" t="s">
        <v>2221</v>
      </c>
      <c r="G194" s="796"/>
      <c r="H194" s="796"/>
      <c r="I194" s="796"/>
      <c r="J194" s="796"/>
      <c r="K194" s="796"/>
      <c r="L194" s="796"/>
      <c r="M194" s="796"/>
      <c r="N194" s="796"/>
      <c r="O194" s="796"/>
      <c r="P194" s="796"/>
      <c r="Q194" s="796"/>
      <c r="R194" s="796"/>
      <c r="S194" s="796" t="s">
        <v>1729</v>
      </c>
      <c r="T194" s="796" t="s">
        <v>2221</v>
      </c>
      <c r="U194" s="796" t="s">
        <v>2221</v>
      </c>
      <c r="V194" s="796"/>
      <c r="W194" s="796"/>
      <c r="X194" s="796"/>
      <c r="Y194" s="796" t="s">
        <v>1730</v>
      </c>
      <c r="Z194" s="796" t="s">
        <v>2224</v>
      </c>
      <c r="AA194" s="796" t="s">
        <v>2223</v>
      </c>
      <c r="AB194" s="796" t="s">
        <v>1731</v>
      </c>
      <c r="AC194" s="796" t="s">
        <v>2221</v>
      </c>
      <c r="AD194" s="796" t="s">
        <v>2222</v>
      </c>
      <c r="AE194" s="796"/>
      <c r="AF194" s="796"/>
      <c r="AG194" s="796"/>
      <c r="AH194" s="796"/>
      <c r="AI194" s="796"/>
      <c r="AJ194" s="796"/>
      <c r="AK194" s="796"/>
      <c r="AL194" s="796"/>
      <c r="AM194" s="796"/>
      <c r="AN194" s="796"/>
      <c r="AO194" s="796"/>
      <c r="AP194" s="796"/>
      <c r="AQ194" s="796"/>
      <c r="AR194" s="796"/>
      <c r="AS194" s="796"/>
      <c r="AT194" s="796"/>
      <c r="AU194" s="796"/>
    </row>
    <row r="195" spans="1:47" ht="13.5">
      <c r="A195" s="796" t="s">
        <v>1732</v>
      </c>
      <c r="B195" s="796" t="s">
        <v>2222</v>
      </c>
      <c r="C195" s="796" t="s">
        <v>2222</v>
      </c>
      <c r="D195" s="796" t="s">
        <v>1733</v>
      </c>
      <c r="E195" s="796" t="s">
        <v>2223</v>
      </c>
      <c r="F195" s="796"/>
      <c r="G195" s="796"/>
      <c r="H195" s="796"/>
      <c r="I195" s="796"/>
      <c r="J195" s="796"/>
      <c r="K195" s="796"/>
      <c r="L195" s="796"/>
      <c r="M195" s="796"/>
      <c r="N195" s="796"/>
      <c r="O195" s="796"/>
      <c r="P195" s="796"/>
      <c r="Q195" s="796"/>
      <c r="R195" s="796"/>
      <c r="S195" s="796"/>
      <c r="T195" s="796"/>
      <c r="U195" s="796"/>
      <c r="V195" s="796"/>
      <c r="W195" s="796"/>
      <c r="X195" s="796"/>
      <c r="Y195" s="796" t="s">
        <v>1734</v>
      </c>
      <c r="Z195" s="796" t="s">
        <v>2221</v>
      </c>
      <c r="AA195" s="796" t="s">
        <v>2221</v>
      </c>
      <c r="AB195" s="796" t="s">
        <v>1735</v>
      </c>
      <c r="AC195" s="796" t="s">
        <v>2222</v>
      </c>
      <c r="AD195" s="796" t="s">
        <v>2222</v>
      </c>
      <c r="AE195" s="796"/>
      <c r="AF195" s="796"/>
      <c r="AG195" s="796"/>
      <c r="AH195" s="796"/>
      <c r="AI195" s="796"/>
      <c r="AJ195" s="796"/>
      <c r="AK195" s="796"/>
      <c r="AL195" s="796"/>
      <c r="AM195" s="796"/>
      <c r="AN195" s="796"/>
      <c r="AO195" s="796"/>
      <c r="AP195" s="796"/>
      <c r="AQ195" s="796"/>
      <c r="AR195" s="796"/>
      <c r="AS195" s="796"/>
      <c r="AT195" s="796"/>
      <c r="AU195" s="796"/>
    </row>
    <row r="196" spans="1:47" ht="13.5">
      <c r="A196" s="796" t="s">
        <v>1736</v>
      </c>
      <c r="B196" s="796" t="s">
        <v>2222</v>
      </c>
      <c r="C196" s="796" t="s">
        <v>2222</v>
      </c>
      <c r="D196" s="796" t="s">
        <v>1737</v>
      </c>
      <c r="E196" s="796" t="s">
        <v>2221</v>
      </c>
      <c r="F196" s="796" t="s">
        <v>2221</v>
      </c>
      <c r="G196" s="796"/>
      <c r="H196" s="796"/>
      <c r="I196" s="796"/>
      <c r="J196" s="796"/>
      <c r="K196" s="796"/>
      <c r="L196" s="796"/>
      <c r="M196" s="796"/>
      <c r="N196" s="796"/>
      <c r="O196" s="796"/>
      <c r="P196" s="796"/>
      <c r="Q196" s="796"/>
      <c r="R196" s="796"/>
      <c r="S196" s="796"/>
      <c r="T196" s="796"/>
      <c r="U196" s="796"/>
      <c r="V196" s="796"/>
      <c r="W196" s="796"/>
      <c r="X196" s="796"/>
      <c r="Y196" s="796" t="s">
        <v>1738</v>
      </c>
      <c r="Z196" s="796" t="s">
        <v>2225</v>
      </c>
      <c r="AA196" s="796" t="s">
        <v>2225</v>
      </c>
      <c r="AB196" s="796" t="s">
        <v>1739</v>
      </c>
      <c r="AC196" s="796" t="s">
        <v>2222</v>
      </c>
      <c r="AD196" s="796" t="s">
        <v>2222</v>
      </c>
      <c r="AE196" s="796"/>
      <c r="AF196" s="796"/>
      <c r="AG196" s="796"/>
      <c r="AH196" s="796"/>
      <c r="AI196" s="796"/>
      <c r="AJ196" s="796"/>
      <c r="AK196" s="796"/>
      <c r="AL196" s="796"/>
      <c r="AM196" s="796"/>
      <c r="AN196" s="796"/>
      <c r="AO196" s="796"/>
      <c r="AP196" s="796"/>
      <c r="AQ196" s="796"/>
      <c r="AR196" s="796"/>
      <c r="AS196" s="796"/>
      <c r="AT196" s="796"/>
      <c r="AU196" s="796"/>
    </row>
    <row r="197" spans="1:47" ht="13.5">
      <c r="A197" s="796" t="s">
        <v>1740</v>
      </c>
      <c r="B197" s="796" t="s">
        <v>2221</v>
      </c>
      <c r="C197" s="796" t="s">
        <v>2222</v>
      </c>
      <c r="D197" s="796" t="s">
        <v>1741</v>
      </c>
      <c r="E197" s="796" t="s">
        <v>2225</v>
      </c>
      <c r="F197" s="796" t="s">
        <v>2224</v>
      </c>
      <c r="G197" s="796"/>
      <c r="H197" s="796"/>
      <c r="I197" s="796"/>
      <c r="J197" s="796"/>
      <c r="K197" s="796"/>
      <c r="L197" s="796"/>
      <c r="M197" s="796"/>
      <c r="N197" s="796"/>
      <c r="O197" s="796"/>
      <c r="P197" s="796"/>
      <c r="Q197" s="796"/>
      <c r="R197" s="796"/>
      <c r="S197" s="796"/>
      <c r="T197" s="796"/>
      <c r="U197" s="796"/>
      <c r="V197" s="796"/>
      <c r="W197" s="796"/>
      <c r="X197" s="796"/>
      <c r="Y197" s="796" t="s">
        <v>1742</v>
      </c>
      <c r="Z197" s="796" t="s">
        <v>2223</v>
      </c>
      <c r="AA197" s="796" t="s">
        <v>2224</v>
      </c>
      <c r="AB197" s="796" t="s">
        <v>1743</v>
      </c>
      <c r="AC197" s="796" t="s">
        <v>2224</v>
      </c>
      <c r="AD197" s="796" t="s">
        <v>2224</v>
      </c>
      <c r="AE197" s="796"/>
      <c r="AF197" s="796"/>
      <c r="AG197" s="796"/>
      <c r="AH197" s="796"/>
      <c r="AI197" s="796"/>
      <c r="AJ197" s="796"/>
      <c r="AK197" s="796"/>
      <c r="AL197" s="796"/>
      <c r="AM197" s="796"/>
      <c r="AN197" s="796"/>
      <c r="AO197" s="796"/>
      <c r="AP197" s="796"/>
      <c r="AQ197" s="796"/>
      <c r="AR197" s="796"/>
      <c r="AS197" s="796"/>
      <c r="AT197" s="796"/>
      <c r="AU197" s="796"/>
    </row>
    <row r="198" spans="1:47" ht="13.5">
      <c r="A198" s="796" t="s">
        <v>1744</v>
      </c>
      <c r="B198" s="796" t="s">
        <v>2223</v>
      </c>
      <c r="C198" s="796" t="s">
        <v>2223</v>
      </c>
      <c r="D198" s="796" t="s">
        <v>1745</v>
      </c>
      <c r="E198" s="796" t="s">
        <v>2223</v>
      </c>
      <c r="F198" s="796" t="s">
        <v>2223</v>
      </c>
      <c r="G198" s="796"/>
      <c r="H198" s="796"/>
      <c r="I198" s="796"/>
      <c r="J198" s="796"/>
      <c r="K198" s="796"/>
      <c r="L198" s="796"/>
      <c r="M198" s="796"/>
      <c r="N198" s="796"/>
      <c r="O198" s="796"/>
      <c r="P198" s="796"/>
      <c r="Q198" s="796"/>
      <c r="R198" s="796"/>
      <c r="S198" s="796"/>
      <c r="T198" s="796"/>
      <c r="U198" s="796"/>
      <c r="V198" s="796"/>
      <c r="W198" s="796"/>
      <c r="X198" s="796"/>
      <c r="Y198" s="796" t="s">
        <v>1746</v>
      </c>
      <c r="Z198" s="796" t="s">
        <v>2222</v>
      </c>
      <c r="AA198" s="796" t="s">
        <v>2223</v>
      </c>
      <c r="AB198" s="796" t="s">
        <v>1747</v>
      </c>
      <c r="AC198" s="796" t="s">
        <v>2221</v>
      </c>
      <c r="AD198" s="796" t="s">
        <v>2221</v>
      </c>
      <c r="AE198" s="796"/>
      <c r="AF198" s="796"/>
      <c r="AG198" s="796"/>
      <c r="AH198" s="796"/>
      <c r="AI198" s="796"/>
      <c r="AJ198" s="796"/>
      <c r="AK198" s="796"/>
      <c r="AL198" s="796"/>
      <c r="AM198" s="796"/>
      <c r="AN198" s="796"/>
      <c r="AO198" s="796"/>
      <c r="AP198" s="796"/>
      <c r="AQ198" s="796"/>
      <c r="AR198" s="796"/>
      <c r="AS198" s="796"/>
      <c r="AT198" s="796"/>
      <c r="AU198" s="796"/>
    </row>
    <row r="199" spans="1:47" ht="13.5">
      <c r="A199" s="796" t="s">
        <v>1748</v>
      </c>
      <c r="B199" s="796" t="s">
        <v>2223</v>
      </c>
      <c r="C199" s="796" t="s">
        <v>2223</v>
      </c>
      <c r="D199" s="796" t="s">
        <v>1749</v>
      </c>
      <c r="E199" s="796" t="s">
        <v>2222</v>
      </c>
      <c r="F199" s="796" t="s">
        <v>2222</v>
      </c>
      <c r="G199" s="796"/>
      <c r="H199" s="796"/>
      <c r="I199" s="796"/>
      <c r="J199" s="796"/>
      <c r="K199" s="796"/>
      <c r="L199" s="796"/>
      <c r="M199" s="796"/>
      <c r="N199" s="796"/>
      <c r="O199" s="796"/>
      <c r="P199" s="796"/>
      <c r="Q199" s="796"/>
      <c r="R199" s="796"/>
      <c r="S199" s="796"/>
      <c r="T199" s="796"/>
      <c r="U199" s="796"/>
      <c r="V199" s="796"/>
      <c r="W199" s="796"/>
      <c r="X199" s="796"/>
      <c r="Y199" s="796" t="s">
        <v>1750</v>
      </c>
      <c r="Z199" s="796" t="s">
        <v>2222</v>
      </c>
      <c r="AA199" s="796" t="s">
        <v>2222</v>
      </c>
      <c r="AB199" s="796" t="s">
        <v>1751</v>
      </c>
      <c r="AC199" s="796" t="s">
        <v>2223</v>
      </c>
      <c r="AD199" s="796" t="s">
        <v>2223</v>
      </c>
      <c r="AE199" s="796"/>
      <c r="AF199" s="796"/>
      <c r="AG199" s="796"/>
      <c r="AH199" s="796"/>
      <c r="AI199" s="796"/>
      <c r="AJ199" s="796"/>
      <c r="AK199" s="796"/>
      <c r="AL199" s="796"/>
      <c r="AM199" s="796"/>
      <c r="AN199" s="796"/>
      <c r="AO199" s="796"/>
      <c r="AP199" s="796"/>
      <c r="AQ199" s="796"/>
      <c r="AR199" s="796"/>
      <c r="AS199" s="796"/>
      <c r="AT199" s="796"/>
      <c r="AU199" s="796"/>
    </row>
    <row r="200" spans="1:47" ht="13.5">
      <c r="A200" s="796" t="s">
        <v>1752</v>
      </c>
      <c r="B200" s="796" t="s">
        <v>2223</v>
      </c>
      <c r="C200" s="796" t="s">
        <v>2224</v>
      </c>
      <c r="D200" s="796" t="s">
        <v>1753</v>
      </c>
      <c r="E200" s="796" t="s">
        <v>2222</v>
      </c>
      <c r="F200" s="796" t="s">
        <v>2222</v>
      </c>
      <c r="G200" s="796"/>
      <c r="H200" s="796"/>
      <c r="I200" s="796"/>
      <c r="J200" s="796"/>
      <c r="K200" s="796"/>
      <c r="L200" s="796"/>
      <c r="M200" s="796"/>
      <c r="N200" s="796"/>
      <c r="O200" s="796"/>
      <c r="P200" s="796"/>
      <c r="Q200" s="796"/>
      <c r="R200" s="796"/>
      <c r="S200" s="796"/>
      <c r="T200" s="796"/>
      <c r="U200" s="796"/>
      <c r="V200" s="796"/>
      <c r="W200" s="796"/>
      <c r="X200" s="796"/>
      <c r="Y200" s="796" t="s">
        <v>1754</v>
      </c>
      <c r="Z200" s="796" t="s">
        <v>2224</v>
      </c>
      <c r="AA200" s="796" t="s">
        <v>2224</v>
      </c>
      <c r="AB200" s="796" t="s">
        <v>1755</v>
      </c>
      <c r="AC200" s="796" t="s">
        <v>2222</v>
      </c>
      <c r="AD200" s="796" t="s">
        <v>2221</v>
      </c>
      <c r="AE200" s="796"/>
      <c r="AF200" s="796"/>
      <c r="AG200" s="796"/>
      <c r="AH200" s="796"/>
      <c r="AI200" s="796"/>
      <c r="AJ200" s="796"/>
      <c r="AK200" s="796"/>
      <c r="AL200" s="796"/>
      <c r="AM200" s="796"/>
      <c r="AN200" s="796"/>
      <c r="AO200" s="796"/>
      <c r="AP200" s="796"/>
      <c r="AQ200" s="796"/>
      <c r="AR200" s="796"/>
      <c r="AS200" s="796"/>
      <c r="AT200" s="796"/>
      <c r="AU200" s="796"/>
    </row>
    <row r="201" spans="1:47" ht="13.5">
      <c r="A201" s="796" t="s">
        <v>1756</v>
      </c>
      <c r="B201" s="796" t="s">
        <v>2223</v>
      </c>
      <c r="C201" s="796" t="s">
        <v>2224</v>
      </c>
      <c r="D201" s="796" t="s">
        <v>1757</v>
      </c>
      <c r="E201" s="796" t="s">
        <v>2226</v>
      </c>
      <c r="F201" s="796" t="s">
        <v>2226</v>
      </c>
      <c r="G201" s="796"/>
      <c r="H201" s="796"/>
      <c r="I201" s="796"/>
      <c r="J201" s="796"/>
      <c r="K201" s="796"/>
      <c r="L201" s="796"/>
      <c r="M201" s="796"/>
      <c r="N201" s="796"/>
      <c r="O201" s="796"/>
      <c r="P201" s="796"/>
      <c r="Q201" s="796"/>
      <c r="R201" s="796"/>
      <c r="S201" s="796"/>
      <c r="T201" s="796"/>
      <c r="U201" s="796"/>
      <c r="V201" s="796"/>
      <c r="W201" s="796"/>
      <c r="X201" s="796"/>
      <c r="Y201" s="796" t="s">
        <v>1758</v>
      </c>
      <c r="Z201" s="796" t="s">
        <v>2222</v>
      </c>
      <c r="AA201" s="796" t="s">
        <v>2222</v>
      </c>
      <c r="AB201" s="796" t="s">
        <v>1759</v>
      </c>
      <c r="AC201" s="796" t="s">
        <v>2221</v>
      </c>
      <c r="AD201" s="796" t="s">
        <v>2222</v>
      </c>
      <c r="AE201" s="796"/>
      <c r="AF201" s="796"/>
      <c r="AG201" s="796"/>
      <c r="AH201" s="796"/>
      <c r="AI201" s="796"/>
      <c r="AJ201" s="796"/>
      <c r="AK201" s="796"/>
      <c r="AL201" s="796"/>
      <c r="AM201" s="796"/>
      <c r="AN201" s="796"/>
      <c r="AO201" s="796"/>
      <c r="AP201" s="796"/>
      <c r="AQ201" s="796"/>
      <c r="AR201" s="796"/>
      <c r="AS201" s="796"/>
      <c r="AT201" s="796"/>
      <c r="AU201" s="796"/>
    </row>
    <row r="202" spans="1:47" ht="13.5">
      <c r="A202" s="796" t="s">
        <v>1760</v>
      </c>
      <c r="B202" s="796" t="s">
        <v>2225</v>
      </c>
      <c r="C202" s="796" t="s">
        <v>2225</v>
      </c>
      <c r="D202" s="796" t="s">
        <v>1761</v>
      </c>
      <c r="E202" s="796" t="s">
        <v>2225</v>
      </c>
      <c r="F202" s="796" t="s">
        <v>2223</v>
      </c>
      <c r="G202" s="796"/>
      <c r="H202" s="796"/>
      <c r="I202" s="796"/>
      <c r="J202" s="796"/>
      <c r="K202" s="796"/>
      <c r="L202" s="796"/>
      <c r="M202" s="796"/>
      <c r="N202" s="796"/>
      <c r="O202" s="796"/>
      <c r="P202" s="796"/>
      <c r="Q202" s="796"/>
      <c r="R202" s="796"/>
      <c r="S202" s="796"/>
      <c r="T202" s="796"/>
      <c r="U202" s="796"/>
      <c r="V202" s="796"/>
      <c r="W202" s="796"/>
      <c r="X202" s="796"/>
      <c r="Y202" s="796" t="s">
        <v>1762</v>
      </c>
      <c r="Z202" s="796" t="s">
        <v>2221</v>
      </c>
      <c r="AA202" s="796"/>
      <c r="AB202" s="796" t="s">
        <v>1763</v>
      </c>
      <c r="AC202" s="796" t="s">
        <v>2222</v>
      </c>
      <c r="AD202" s="796" t="s">
        <v>2222</v>
      </c>
      <c r="AE202" s="796"/>
      <c r="AF202" s="796"/>
      <c r="AG202" s="796"/>
      <c r="AH202" s="796"/>
      <c r="AI202" s="796"/>
      <c r="AJ202" s="796"/>
      <c r="AK202" s="796"/>
      <c r="AL202" s="796"/>
      <c r="AM202" s="796"/>
      <c r="AN202" s="796"/>
      <c r="AO202" s="796"/>
      <c r="AP202" s="796"/>
      <c r="AQ202" s="796"/>
      <c r="AR202" s="796"/>
      <c r="AS202" s="796"/>
      <c r="AT202" s="796"/>
      <c r="AU202" s="796"/>
    </row>
    <row r="203" spans="1:47" ht="13.5">
      <c r="A203" s="796" t="s">
        <v>1764</v>
      </c>
      <c r="B203" s="796" t="s">
        <v>2222</v>
      </c>
      <c r="C203" s="796" t="s">
        <v>2222</v>
      </c>
      <c r="D203" s="796" t="s">
        <v>1765</v>
      </c>
      <c r="E203" s="796" t="s">
        <v>2225</v>
      </c>
      <c r="F203" s="796"/>
      <c r="G203" s="796"/>
      <c r="H203" s="796"/>
      <c r="I203" s="796"/>
      <c r="J203" s="796"/>
      <c r="K203" s="796"/>
      <c r="L203" s="796"/>
      <c r="M203" s="796"/>
      <c r="N203" s="796"/>
      <c r="O203" s="796"/>
      <c r="P203" s="796"/>
      <c r="Q203" s="796"/>
      <c r="R203" s="796"/>
      <c r="S203" s="796"/>
      <c r="T203" s="796"/>
      <c r="U203" s="796"/>
      <c r="V203" s="796"/>
      <c r="W203" s="796"/>
      <c r="X203" s="796"/>
      <c r="Y203" s="796" t="s">
        <v>1766</v>
      </c>
      <c r="Z203" s="796" t="s">
        <v>2225</v>
      </c>
      <c r="AA203" s="796" t="s">
        <v>2225</v>
      </c>
      <c r="AB203" s="796" t="s">
        <v>1767</v>
      </c>
      <c r="AC203" s="796" t="s">
        <v>2224</v>
      </c>
      <c r="AD203" s="796" t="s">
        <v>2224</v>
      </c>
      <c r="AE203" s="796"/>
      <c r="AF203" s="796"/>
      <c r="AG203" s="796"/>
      <c r="AH203" s="796"/>
      <c r="AI203" s="796"/>
      <c r="AJ203" s="796"/>
      <c r="AK203" s="796"/>
      <c r="AL203" s="796"/>
      <c r="AM203" s="796"/>
      <c r="AN203" s="796"/>
      <c r="AO203" s="796"/>
      <c r="AP203" s="796"/>
      <c r="AQ203" s="796"/>
      <c r="AR203" s="796"/>
      <c r="AS203" s="796"/>
      <c r="AT203" s="796"/>
      <c r="AU203" s="796"/>
    </row>
    <row r="204" spans="1:47" ht="13.5">
      <c r="A204" s="796" t="s">
        <v>1768</v>
      </c>
      <c r="B204" s="796" t="s">
        <v>2223</v>
      </c>
      <c r="C204" s="796" t="s">
        <v>2223</v>
      </c>
      <c r="D204" s="796" t="s">
        <v>1769</v>
      </c>
      <c r="E204" s="796" t="s">
        <v>2427</v>
      </c>
      <c r="F204" s="796" t="s">
        <v>2226</v>
      </c>
      <c r="G204" s="796"/>
      <c r="H204" s="796"/>
      <c r="I204" s="796"/>
      <c r="J204" s="796"/>
      <c r="K204" s="796"/>
      <c r="L204" s="796"/>
      <c r="M204" s="796"/>
      <c r="N204" s="796"/>
      <c r="O204" s="796"/>
      <c r="P204" s="796"/>
      <c r="Q204" s="796"/>
      <c r="R204" s="796"/>
      <c r="S204" s="796"/>
      <c r="T204" s="796"/>
      <c r="U204" s="796"/>
      <c r="V204" s="796"/>
      <c r="W204" s="796"/>
      <c r="X204" s="796"/>
      <c r="Y204" s="796" t="s">
        <v>1770</v>
      </c>
      <c r="Z204" s="796" t="s">
        <v>2223</v>
      </c>
      <c r="AA204" s="796" t="s">
        <v>2223</v>
      </c>
      <c r="AB204" s="796" t="s">
        <v>1771</v>
      </c>
      <c r="AC204" s="796" t="s">
        <v>2222</v>
      </c>
      <c r="AD204" s="796" t="s">
        <v>2222</v>
      </c>
      <c r="AE204" s="796"/>
      <c r="AF204" s="796"/>
      <c r="AG204" s="796"/>
      <c r="AH204" s="796"/>
      <c r="AI204" s="796"/>
      <c r="AJ204" s="796"/>
      <c r="AK204" s="796"/>
      <c r="AL204" s="796"/>
      <c r="AM204" s="796"/>
      <c r="AN204" s="796"/>
      <c r="AO204" s="796"/>
      <c r="AP204" s="796"/>
      <c r="AQ204" s="796"/>
      <c r="AR204" s="796"/>
      <c r="AS204" s="796"/>
      <c r="AT204" s="796"/>
      <c r="AU204" s="796"/>
    </row>
    <row r="205" spans="1:47" ht="13.5">
      <c r="A205" s="796" t="s">
        <v>1772</v>
      </c>
      <c r="B205" s="796" t="s">
        <v>2224</v>
      </c>
      <c r="C205" s="796" t="s">
        <v>2224</v>
      </c>
      <c r="D205" s="796" t="s">
        <v>1773</v>
      </c>
      <c r="E205" s="796" t="s">
        <v>2221</v>
      </c>
      <c r="F205" s="796" t="s">
        <v>2222</v>
      </c>
      <c r="G205" s="796"/>
      <c r="H205" s="796"/>
      <c r="I205" s="796"/>
      <c r="J205" s="796"/>
      <c r="K205" s="796"/>
      <c r="L205" s="796"/>
      <c r="M205" s="796"/>
      <c r="N205" s="796"/>
      <c r="O205" s="796"/>
      <c r="P205" s="796"/>
      <c r="Q205" s="796"/>
      <c r="R205" s="796"/>
      <c r="S205" s="796"/>
      <c r="T205" s="796"/>
      <c r="U205" s="796"/>
      <c r="V205" s="796"/>
      <c r="W205" s="796"/>
      <c r="X205" s="796"/>
      <c r="Y205" s="796" t="s">
        <v>1774</v>
      </c>
      <c r="Z205" s="796" t="s">
        <v>2221</v>
      </c>
      <c r="AA205" s="796" t="s">
        <v>2221</v>
      </c>
      <c r="AB205" s="796" t="s">
        <v>1775</v>
      </c>
      <c r="AC205" s="796" t="s">
        <v>2222</v>
      </c>
      <c r="AD205" s="796" t="s">
        <v>2222</v>
      </c>
      <c r="AE205" s="796"/>
      <c r="AF205" s="796"/>
      <c r="AG205" s="796"/>
      <c r="AH205" s="796"/>
      <c r="AI205" s="796"/>
      <c r="AJ205" s="796"/>
      <c r="AK205" s="796"/>
      <c r="AL205" s="796"/>
      <c r="AM205" s="796"/>
      <c r="AN205" s="796"/>
      <c r="AO205" s="796"/>
      <c r="AP205" s="796"/>
      <c r="AQ205" s="796"/>
      <c r="AR205" s="796"/>
      <c r="AS205" s="796"/>
      <c r="AT205" s="796"/>
      <c r="AU205" s="796"/>
    </row>
    <row r="206" spans="1:47" ht="13.5">
      <c r="A206" s="796" t="s">
        <v>1776</v>
      </c>
      <c r="B206" s="796" t="s">
        <v>2222</v>
      </c>
      <c r="C206" s="796" t="s">
        <v>2222</v>
      </c>
      <c r="D206" s="796" t="s">
        <v>1777</v>
      </c>
      <c r="E206" s="796" t="s">
        <v>2222</v>
      </c>
      <c r="F206" s="796" t="s">
        <v>2222</v>
      </c>
      <c r="G206" s="796"/>
      <c r="H206" s="796"/>
      <c r="I206" s="796"/>
      <c r="J206" s="796"/>
      <c r="K206" s="796"/>
      <c r="L206" s="796"/>
      <c r="M206" s="796"/>
      <c r="N206" s="796"/>
      <c r="O206" s="796"/>
      <c r="P206" s="796"/>
      <c r="Q206" s="796"/>
      <c r="R206" s="796"/>
      <c r="S206" s="796"/>
      <c r="T206" s="796"/>
      <c r="U206" s="796"/>
      <c r="V206" s="796"/>
      <c r="W206" s="796"/>
      <c r="X206" s="796"/>
      <c r="Y206" s="796" t="s">
        <v>1778</v>
      </c>
      <c r="Z206" s="796" t="s">
        <v>2221</v>
      </c>
      <c r="AA206" s="796"/>
      <c r="AB206" s="796" t="s">
        <v>1779</v>
      </c>
      <c r="AC206" s="796" t="s">
        <v>2222</v>
      </c>
      <c r="AD206" s="796" t="s">
        <v>2222</v>
      </c>
      <c r="AE206" s="796"/>
      <c r="AF206" s="796"/>
      <c r="AG206" s="796"/>
      <c r="AH206" s="796"/>
      <c r="AI206" s="796"/>
      <c r="AJ206" s="796"/>
      <c r="AK206" s="796"/>
      <c r="AL206" s="796"/>
      <c r="AM206" s="796"/>
      <c r="AN206" s="796"/>
      <c r="AO206" s="796"/>
      <c r="AP206" s="796"/>
      <c r="AQ206" s="796"/>
      <c r="AR206" s="796"/>
      <c r="AS206" s="796"/>
      <c r="AT206" s="796"/>
      <c r="AU206" s="796"/>
    </row>
    <row r="207" spans="1:47" ht="13.5">
      <c r="A207" s="796" t="s">
        <v>1780</v>
      </c>
      <c r="B207" s="796" t="s">
        <v>2224</v>
      </c>
      <c r="C207" s="796" t="s">
        <v>2224</v>
      </c>
      <c r="D207" s="796" t="s">
        <v>1781</v>
      </c>
      <c r="E207" s="796" t="s">
        <v>2221</v>
      </c>
      <c r="F207" s="796" t="s">
        <v>2221</v>
      </c>
      <c r="G207" s="796"/>
      <c r="H207" s="796"/>
      <c r="I207" s="796"/>
      <c r="J207" s="796"/>
      <c r="K207" s="796"/>
      <c r="L207" s="796"/>
      <c r="M207" s="796"/>
      <c r="N207" s="796"/>
      <c r="O207" s="796"/>
      <c r="P207" s="796"/>
      <c r="Q207" s="796"/>
      <c r="R207" s="796"/>
      <c r="S207" s="796"/>
      <c r="T207" s="796"/>
      <c r="U207" s="796"/>
      <c r="V207" s="796"/>
      <c r="W207" s="796"/>
      <c r="X207" s="796"/>
      <c r="Y207" s="796" t="s">
        <v>1782</v>
      </c>
      <c r="Z207" s="796" t="s">
        <v>2222</v>
      </c>
      <c r="AA207" s="796" t="s">
        <v>2222</v>
      </c>
      <c r="AB207" s="796" t="s">
        <v>1783</v>
      </c>
      <c r="AC207" s="796" t="s">
        <v>2223</v>
      </c>
      <c r="AD207" s="796" t="s">
        <v>2223</v>
      </c>
      <c r="AE207" s="796"/>
      <c r="AF207" s="796"/>
      <c r="AG207" s="796"/>
      <c r="AH207" s="796"/>
      <c r="AI207" s="796"/>
      <c r="AJ207" s="796"/>
      <c r="AK207" s="796"/>
      <c r="AL207" s="796"/>
      <c r="AM207" s="796"/>
      <c r="AN207" s="796"/>
      <c r="AO207" s="796"/>
      <c r="AP207" s="796"/>
      <c r="AQ207" s="796"/>
      <c r="AR207" s="796"/>
      <c r="AS207" s="796"/>
      <c r="AT207" s="796"/>
      <c r="AU207" s="796"/>
    </row>
    <row r="208" spans="1:47" ht="13.5">
      <c r="A208" s="796" t="s">
        <v>1784</v>
      </c>
      <c r="B208" s="796" t="s">
        <v>2222</v>
      </c>
      <c r="C208" s="796" t="s">
        <v>2223</v>
      </c>
      <c r="D208" s="796" t="s">
        <v>1785</v>
      </c>
      <c r="E208" s="796" t="s">
        <v>2222</v>
      </c>
      <c r="F208" s="796" t="s">
        <v>2222</v>
      </c>
      <c r="G208" s="796"/>
      <c r="H208" s="796"/>
      <c r="I208" s="796"/>
      <c r="J208" s="796"/>
      <c r="K208" s="796"/>
      <c r="L208" s="796"/>
      <c r="M208" s="796"/>
      <c r="N208" s="796"/>
      <c r="O208" s="796"/>
      <c r="P208" s="796"/>
      <c r="Q208" s="796"/>
      <c r="R208" s="796"/>
      <c r="S208" s="796"/>
      <c r="T208" s="796"/>
      <c r="U208" s="796"/>
      <c r="V208" s="796"/>
      <c r="W208" s="796"/>
      <c r="X208" s="796"/>
      <c r="Y208" s="796" t="s">
        <v>1786</v>
      </c>
      <c r="Z208" s="796" t="s">
        <v>2222</v>
      </c>
      <c r="AA208" s="796" t="s">
        <v>2222</v>
      </c>
      <c r="AB208" s="796" t="s">
        <v>1787</v>
      </c>
      <c r="AC208" s="796" t="s">
        <v>2222</v>
      </c>
      <c r="AD208" s="796" t="s">
        <v>2222</v>
      </c>
      <c r="AE208" s="796"/>
      <c r="AF208" s="796"/>
      <c r="AG208" s="796"/>
      <c r="AH208" s="796"/>
      <c r="AI208" s="796"/>
      <c r="AJ208" s="796"/>
      <c r="AK208" s="796"/>
      <c r="AL208" s="796"/>
      <c r="AM208" s="796"/>
      <c r="AN208" s="796"/>
      <c r="AO208" s="796"/>
      <c r="AP208" s="796"/>
      <c r="AQ208" s="796"/>
      <c r="AR208" s="796"/>
      <c r="AS208" s="796"/>
      <c r="AT208" s="796"/>
      <c r="AU208" s="796"/>
    </row>
    <row r="209" spans="1:47" ht="13.5">
      <c r="A209" s="796" t="s">
        <v>1788</v>
      </c>
      <c r="B209" s="796" t="s">
        <v>2223</v>
      </c>
      <c r="C209" s="796" t="s">
        <v>2223</v>
      </c>
      <c r="D209" s="796" t="s">
        <v>1789</v>
      </c>
      <c r="E209" s="796" t="s">
        <v>2222</v>
      </c>
      <c r="F209" s="796" t="s">
        <v>2222</v>
      </c>
      <c r="G209" s="796"/>
      <c r="H209" s="796"/>
      <c r="I209" s="796"/>
      <c r="J209" s="796"/>
      <c r="K209" s="796"/>
      <c r="L209" s="796"/>
      <c r="M209" s="796"/>
      <c r="N209" s="796"/>
      <c r="O209" s="796"/>
      <c r="P209" s="796"/>
      <c r="Q209" s="796"/>
      <c r="R209" s="796"/>
      <c r="S209" s="796"/>
      <c r="T209" s="796"/>
      <c r="U209" s="796"/>
      <c r="V209" s="796"/>
      <c r="W209" s="796"/>
      <c r="X209" s="796"/>
      <c r="Y209" s="796" t="s">
        <v>1790</v>
      </c>
      <c r="Z209" s="796" t="s">
        <v>2223</v>
      </c>
      <c r="AA209" s="796" t="s">
        <v>2224</v>
      </c>
      <c r="AB209" s="796" t="s">
        <v>1791</v>
      </c>
      <c r="AC209" s="796" t="s">
        <v>2223</v>
      </c>
      <c r="AD209" s="796" t="s">
        <v>2223</v>
      </c>
      <c r="AE209" s="796"/>
      <c r="AF209" s="796"/>
      <c r="AG209" s="796"/>
      <c r="AH209" s="796"/>
      <c r="AI209" s="796"/>
      <c r="AJ209" s="796"/>
      <c r="AK209" s="796"/>
      <c r="AL209" s="796"/>
      <c r="AM209" s="796"/>
      <c r="AN209" s="796"/>
      <c r="AO209" s="796"/>
      <c r="AP209" s="796"/>
      <c r="AQ209" s="796"/>
      <c r="AR209" s="796"/>
      <c r="AS209" s="796"/>
      <c r="AT209" s="796"/>
      <c r="AU209" s="796"/>
    </row>
    <row r="210" spans="1:47" ht="13.5">
      <c r="A210" s="796" t="s">
        <v>1792</v>
      </c>
      <c r="B210" s="796" t="s">
        <v>2224</v>
      </c>
      <c r="C210" s="796" t="s">
        <v>2225</v>
      </c>
      <c r="D210" s="796" t="s">
        <v>1793</v>
      </c>
      <c r="E210" s="796" t="s">
        <v>2223</v>
      </c>
      <c r="F210" s="796" t="s">
        <v>2222</v>
      </c>
      <c r="G210" s="796"/>
      <c r="H210" s="796"/>
      <c r="I210" s="796"/>
      <c r="J210" s="796"/>
      <c r="K210" s="796"/>
      <c r="L210" s="796"/>
      <c r="M210" s="796"/>
      <c r="N210" s="796"/>
      <c r="O210" s="796"/>
      <c r="P210" s="796"/>
      <c r="Q210" s="796"/>
      <c r="R210" s="796"/>
      <c r="S210" s="796"/>
      <c r="T210" s="796"/>
      <c r="U210" s="796"/>
      <c r="V210" s="796"/>
      <c r="W210" s="796"/>
      <c r="X210" s="796"/>
      <c r="Y210" s="796" t="s">
        <v>1794</v>
      </c>
      <c r="Z210" s="796" t="s">
        <v>2221</v>
      </c>
      <c r="AA210" s="796" t="s">
        <v>2221</v>
      </c>
      <c r="AB210" s="796" t="s">
        <v>1795</v>
      </c>
      <c r="AC210" s="796" t="s">
        <v>2222</v>
      </c>
      <c r="AD210" s="796" t="s">
        <v>2223</v>
      </c>
      <c r="AE210" s="796"/>
      <c r="AF210" s="796"/>
      <c r="AG210" s="796"/>
      <c r="AH210" s="796"/>
      <c r="AI210" s="796"/>
      <c r="AJ210" s="796"/>
      <c r="AK210" s="796"/>
      <c r="AL210" s="796"/>
      <c r="AM210" s="796"/>
      <c r="AN210" s="796"/>
      <c r="AO210" s="796"/>
      <c r="AP210" s="796"/>
      <c r="AQ210" s="796"/>
      <c r="AR210" s="796"/>
      <c r="AS210" s="796"/>
      <c r="AT210" s="796"/>
      <c r="AU210" s="796"/>
    </row>
    <row r="211" spans="1:47" ht="13.5">
      <c r="A211" s="796" t="s">
        <v>1796</v>
      </c>
      <c r="B211" s="796" t="s">
        <v>2224</v>
      </c>
      <c r="C211" s="796" t="s">
        <v>2224</v>
      </c>
      <c r="D211" s="796" t="s">
        <v>1797</v>
      </c>
      <c r="E211" s="796" t="s">
        <v>2224</v>
      </c>
      <c r="F211" s="796" t="s">
        <v>2224</v>
      </c>
      <c r="G211" s="796"/>
      <c r="H211" s="796"/>
      <c r="I211" s="796"/>
      <c r="J211" s="796"/>
      <c r="K211" s="796"/>
      <c r="L211" s="796"/>
      <c r="M211" s="796"/>
      <c r="N211" s="796"/>
      <c r="O211" s="796"/>
      <c r="P211" s="796"/>
      <c r="Q211" s="796"/>
      <c r="R211" s="796"/>
      <c r="S211" s="796"/>
      <c r="T211" s="796"/>
      <c r="U211" s="796"/>
      <c r="V211" s="796"/>
      <c r="W211" s="796"/>
      <c r="X211" s="796"/>
      <c r="Y211" s="796" t="s">
        <v>1798</v>
      </c>
      <c r="Z211" s="796" t="s">
        <v>2222</v>
      </c>
      <c r="AA211" s="796" t="s">
        <v>2222</v>
      </c>
      <c r="AB211" s="796" t="s">
        <v>1799</v>
      </c>
      <c r="AC211" s="796" t="s">
        <v>2223</v>
      </c>
      <c r="AD211" s="796" t="s">
        <v>2223</v>
      </c>
      <c r="AE211" s="796"/>
      <c r="AF211" s="796"/>
      <c r="AG211" s="796"/>
      <c r="AH211" s="796"/>
      <c r="AI211" s="796"/>
      <c r="AJ211" s="796"/>
      <c r="AK211" s="796"/>
      <c r="AL211" s="796"/>
      <c r="AM211" s="796"/>
      <c r="AN211" s="796"/>
      <c r="AO211" s="796"/>
      <c r="AP211" s="796"/>
      <c r="AQ211" s="796"/>
      <c r="AR211" s="796"/>
      <c r="AS211" s="796"/>
      <c r="AT211" s="796"/>
      <c r="AU211" s="796"/>
    </row>
    <row r="212" spans="1:47" ht="13.5">
      <c r="A212" s="796" t="s">
        <v>1800</v>
      </c>
      <c r="B212" s="796" t="s">
        <v>2223</v>
      </c>
      <c r="C212" s="796" t="s">
        <v>2223</v>
      </c>
      <c r="D212" s="796" t="s">
        <v>1801</v>
      </c>
      <c r="E212" s="796" t="s">
        <v>2225</v>
      </c>
      <c r="F212" s="796" t="s">
        <v>2225</v>
      </c>
      <c r="G212" s="796"/>
      <c r="H212" s="796"/>
      <c r="I212" s="796"/>
      <c r="J212" s="796"/>
      <c r="K212" s="796"/>
      <c r="L212" s="796"/>
      <c r="M212" s="796"/>
      <c r="N212" s="796"/>
      <c r="O212" s="796"/>
      <c r="P212" s="796"/>
      <c r="Q212" s="796"/>
      <c r="R212" s="796"/>
      <c r="S212" s="796"/>
      <c r="T212" s="796"/>
      <c r="U212" s="796"/>
      <c r="V212" s="796"/>
      <c r="W212" s="796"/>
      <c r="X212" s="796"/>
      <c r="Y212" s="796" t="s">
        <v>1802</v>
      </c>
      <c r="Z212" s="796" t="s">
        <v>2222</v>
      </c>
      <c r="AA212" s="796" t="s">
        <v>2222</v>
      </c>
      <c r="AB212" s="796" t="s">
        <v>1803</v>
      </c>
      <c r="AC212" s="796" t="s">
        <v>2221</v>
      </c>
      <c r="AD212" s="796" t="s">
        <v>2221</v>
      </c>
      <c r="AE212" s="796"/>
      <c r="AF212" s="796"/>
      <c r="AG212" s="796"/>
      <c r="AH212" s="796"/>
      <c r="AI212" s="796"/>
      <c r="AJ212" s="796"/>
      <c r="AK212" s="796"/>
      <c r="AL212" s="796"/>
      <c r="AM212" s="796"/>
      <c r="AN212" s="796"/>
      <c r="AO212" s="796"/>
      <c r="AP212" s="796"/>
      <c r="AQ212" s="796"/>
      <c r="AR212" s="796"/>
      <c r="AS212" s="796"/>
      <c r="AT212" s="796"/>
      <c r="AU212" s="796"/>
    </row>
    <row r="213" spans="1:47" ht="13.5">
      <c r="A213" s="796" t="s">
        <v>1804</v>
      </c>
      <c r="B213" s="796" t="s">
        <v>2225</v>
      </c>
      <c r="C213" s="796" t="s">
        <v>2225</v>
      </c>
      <c r="D213" s="796" t="s">
        <v>1805</v>
      </c>
      <c r="E213" s="796" t="s">
        <v>2222</v>
      </c>
      <c r="F213" s="796" t="s">
        <v>2222</v>
      </c>
      <c r="G213" s="796"/>
      <c r="H213" s="796"/>
      <c r="I213" s="796"/>
      <c r="J213" s="796"/>
      <c r="K213" s="796"/>
      <c r="L213" s="796"/>
      <c r="M213" s="796"/>
      <c r="N213" s="796"/>
      <c r="O213" s="796"/>
      <c r="P213" s="796"/>
      <c r="Q213" s="796"/>
      <c r="R213" s="796"/>
      <c r="S213" s="796"/>
      <c r="T213" s="796"/>
      <c r="U213" s="796"/>
      <c r="V213" s="796"/>
      <c r="W213" s="796"/>
      <c r="X213" s="796"/>
      <c r="Y213" s="796" t="s">
        <v>1806</v>
      </c>
      <c r="Z213" s="796" t="s">
        <v>2221</v>
      </c>
      <c r="AA213" s="796" t="s">
        <v>2221</v>
      </c>
      <c r="AB213" s="796" t="s">
        <v>1807</v>
      </c>
      <c r="AC213" s="796" t="s">
        <v>2222</v>
      </c>
      <c r="AD213" s="796" t="s">
        <v>2223</v>
      </c>
      <c r="AE213" s="796"/>
      <c r="AF213" s="796"/>
      <c r="AG213" s="796"/>
      <c r="AH213" s="796"/>
      <c r="AI213" s="796"/>
      <c r="AJ213" s="796"/>
      <c r="AK213" s="796"/>
      <c r="AL213" s="796"/>
      <c r="AM213" s="796"/>
      <c r="AN213" s="796"/>
      <c r="AO213" s="796"/>
      <c r="AP213" s="796"/>
      <c r="AQ213" s="796"/>
      <c r="AR213" s="796"/>
      <c r="AS213" s="796"/>
      <c r="AT213" s="796"/>
      <c r="AU213" s="796"/>
    </row>
    <row r="214" spans="1:47" ht="13.5">
      <c r="A214" s="796" t="s">
        <v>1808</v>
      </c>
      <c r="B214" s="796" t="s">
        <v>2222</v>
      </c>
      <c r="C214" s="796" t="s">
        <v>2223</v>
      </c>
      <c r="D214" s="796" t="s">
        <v>1809</v>
      </c>
      <c r="E214" s="796" t="s">
        <v>2221</v>
      </c>
      <c r="F214" s="796" t="s">
        <v>2221</v>
      </c>
      <c r="G214" s="796"/>
      <c r="H214" s="796"/>
      <c r="I214" s="796"/>
      <c r="J214" s="796"/>
      <c r="K214" s="796"/>
      <c r="L214" s="796"/>
      <c r="M214" s="796"/>
      <c r="N214" s="796"/>
      <c r="O214" s="796"/>
      <c r="P214" s="796"/>
      <c r="Q214" s="796"/>
      <c r="R214" s="796"/>
      <c r="S214" s="796"/>
      <c r="T214" s="796"/>
      <c r="U214" s="796"/>
      <c r="V214" s="796"/>
      <c r="W214" s="796"/>
      <c r="X214" s="796"/>
      <c r="Y214" s="796" t="s">
        <v>1810</v>
      </c>
      <c r="Z214" s="796" t="s">
        <v>2221</v>
      </c>
      <c r="AA214" s="796" t="s">
        <v>2221</v>
      </c>
      <c r="AB214" s="796" t="s">
        <v>1811</v>
      </c>
      <c r="AC214" s="796" t="s">
        <v>2223</v>
      </c>
      <c r="AD214" s="796" t="s">
        <v>2224</v>
      </c>
      <c r="AE214" s="796"/>
      <c r="AF214" s="796"/>
      <c r="AG214" s="796"/>
      <c r="AH214" s="796"/>
      <c r="AI214" s="796"/>
      <c r="AJ214" s="796"/>
      <c r="AK214" s="796"/>
      <c r="AL214" s="796"/>
      <c r="AM214" s="796"/>
      <c r="AN214" s="796"/>
      <c r="AO214" s="796"/>
      <c r="AP214" s="796"/>
      <c r="AQ214" s="796"/>
      <c r="AR214" s="796"/>
      <c r="AS214" s="796"/>
      <c r="AT214" s="796"/>
      <c r="AU214" s="796"/>
    </row>
    <row r="215" spans="1:47" ht="13.5">
      <c r="A215" s="796" t="s">
        <v>1812</v>
      </c>
      <c r="B215" s="796" t="s">
        <v>2225</v>
      </c>
      <c r="C215" s="796" t="s">
        <v>2225</v>
      </c>
      <c r="D215" s="796" t="s">
        <v>1813</v>
      </c>
      <c r="E215" s="796" t="s">
        <v>2225</v>
      </c>
      <c r="F215" s="796" t="s">
        <v>2225</v>
      </c>
      <c r="G215" s="796"/>
      <c r="H215" s="796"/>
      <c r="I215" s="796"/>
      <c r="J215" s="796"/>
      <c r="K215" s="796"/>
      <c r="L215" s="796"/>
      <c r="M215" s="796"/>
      <c r="N215" s="796"/>
      <c r="O215" s="796"/>
      <c r="P215" s="796"/>
      <c r="Q215" s="796"/>
      <c r="R215" s="796"/>
      <c r="S215" s="796"/>
      <c r="T215" s="796"/>
      <c r="U215" s="796"/>
      <c r="V215" s="796"/>
      <c r="W215" s="796"/>
      <c r="X215" s="796"/>
      <c r="Y215" s="796" t="s">
        <v>1814</v>
      </c>
      <c r="Z215" s="796" t="s">
        <v>2221</v>
      </c>
      <c r="AA215" s="796" t="s">
        <v>2221</v>
      </c>
      <c r="AB215" s="796" t="s">
        <v>1815</v>
      </c>
      <c r="AC215" s="796" t="s">
        <v>2225</v>
      </c>
      <c r="AD215" s="796" t="s">
        <v>2225</v>
      </c>
      <c r="AE215" s="796"/>
      <c r="AF215" s="796"/>
      <c r="AG215" s="796"/>
      <c r="AH215" s="796"/>
      <c r="AI215" s="796"/>
      <c r="AJ215" s="796"/>
      <c r="AK215" s="796"/>
      <c r="AL215" s="796"/>
      <c r="AM215" s="796"/>
      <c r="AN215" s="796"/>
      <c r="AO215" s="796"/>
      <c r="AP215" s="796"/>
      <c r="AQ215" s="796"/>
      <c r="AR215" s="796"/>
      <c r="AS215" s="796"/>
      <c r="AT215" s="796"/>
      <c r="AU215" s="796"/>
    </row>
    <row r="216" spans="1:47" ht="13.5">
      <c r="A216" s="796" t="s">
        <v>1816</v>
      </c>
      <c r="B216" s="796" t="s">
        <v>2223</v>
      </c>
      <c r="C216" s="796" t="s">
        <v>2224</v>
      </c>
      <c r="D216" s="796" t="s">
        <v>1817</v>
      </c>
      <c r="E216" s="796" t="s">
        <v>2222</v>
      </c>
      <c r="F216" s="796" t="s">
        <v>2222</v>
      </c>
      <c r="G216" s="796"/>
      <c r="H216" s="796"/>
      <c r="I216" s="796"/>
      <c r="J216" s="796"/>
      <c r="K216" s="796"/>
      <c r="L216" s="796"/>
      <c r="M216" s="796"/>
      <c r="N216" s="796"/>
      <c r="O216" s="796"/>
      <c r="P216" s="796"/>
      <c r="Q216" s="796"/>
      <c r="R216" s="796"/>
      <c r="S216" s="796"/>
      <c r="T216" s="796"/>
      <c r="U216" s="796"/>
      <c r="V216" s="796"/>
      <c r="W216" s="796"/>
      <c r="X216" s="796"/>
      <c r="Y216" s="796" t="s">
        <v>1818</v>
      </c>
      <c r="Z216" s="796" t="s">
        <v>2223</v>
      </c>
      <c r="AA216" s="796" t="s">
        <v>2223</v>
      </c>
      <c r="AB216" s="796" t="s">
        <v>1819</v>
      </c>
      <c r="AC216" s="796" t="s">
        <v>2222</v>
      </c>
      <c r="AD216" s="796" t="s">
        <v>2222</v>
      </c>
      <c r="AE216" s="796"/>
      <c r="AF216" s="796"/>
      <c r="AG216" s="796"/>
      <c r="AH216" s="796"/>
      <c r="AI216" s="796"/>
      <c r="AJ216" s="796"/>
      <c r="AK216" s="796"/>
      <c r="AL216" s="796"/>
      <c r="AM216" s="796"/>
      <c r="AN216" s="796"/>
      <c r="AO216" s="796"/>
      <c r="AP216" s="796"/>
      <c r="AQ216" s="796"/>
      <c r="AR216" s="796"/>
      <c r="AS216" s="796"/>
      <c r="AT216" s="796"/>
      <c r="AU216" s="796"/>
    </row>
    <row r="217" spans="1:47" ht="13.5">
      <c r="A217" s="796" t="s">
        <v>1820</v>
      </c>
      <c r="B217" s="796" t="s">
        <v>2226</v>
      </c>
      <c r="C217" s="796" t="s">
        <v>2225</v>
      </c>
      <c r="D217" s="796" t="s">
        <v>1821</v>
      </c>
      <c r="E217" s="796" t="s">
        <v>2221</v>
      </c>
      <c r="F217" s="796" t="s">
        <v>2221</v>
      </c>
      <c r="G217" s="796"/>
      <c r="H217" s="796"/>
      <c r="I217" s="796"/>
      <c r="J217" s="796"/>
      <c r="K217" s="796"/>
      <c r="L217" s="796"/>
      <c r="M217" s="796"/>
      <c r="N217" s="796"/>
      <c r="O217" s="796"/>
      <c r="P217" s="796"/>
      <c r="Q217" s="796"/>
      <c r="R217" s="796"/>
      <c r="S217" s="796"/>
      <c r="T217" s="796"/>
      <c r="U217" s="796"/>
      <c r="V217" s="796"/>
      <c r="W217" s="796"/>
      <c r="X217" s="796"/>
      <c r="Y217" s="796" t="s">
        <v>1822</v>
      </c>
      <c r="Z217" s="796" t="s">
        <v>2222</v>
      </c>
      <c r="AA217" s="796" t="s">
        <v>2222</v>
      </c>
      <c r="AB217" s="796" t="s">
        <v>1823</v>
      </c>
      <c r="AC217" s="796" t="s">
        <v>2222</v>
      </c>
      <c r="AD217" s="796" t="s">
        <v>2223</v>
      </c>
      <c r="AE217" s="796"/>
      <c r="AF217" s="796"/>
      <c r="AG217" s="796"/>
      <c r="AH217" s="796"/>
      <c r="AI217" s="796"/>
      <c r="AJ217" s="796"/>
      <c r="AK217" s="796"/>
      <c r="AL217" s="796"/>
      <c r="AM217" s="796"/>
      <c r="AN217" s="796"/>
      <c r="AO217" s="796"/>
      <c r="AP217" s="796"/>
      <c r="AQ217" s="796"/>
      <c r="AR217" s="796"/>
      <c r="AS217" s="796"/>
      <c r="AT217" s="796"/>
      <c r="AU217" s="796"/>
    </row>
    <row r="218" spans="1:47" ht="13.5">
      <c r="A218" s="796" t="s">
        <v>1824</v>
      </c>
      <c r="B218" s="796" t="s">
        <v>2224</v>
      </c>
      <c r="C218" s="796" t="s">
        <v>2224</v>
      </c>
      <c r="D218" s="796" t="s">
        <v>1825</v>
      </c>
      <c r="E218" s="796" t="s">
        <v>2427</v>
      </c>
      <c r="F218" s="796" t="s">
        <v>2226</v>
      </c>
      <c r="G218" s="796"/>
      <c r="H218" s="796"/>
      <c r="I218" s="796"/>
      <c r="J218" s="796"/>
      <c r="K218" s="796"/>
      <c r="L218" s="796"/>
      <c r="M218" s="796"/>
      <c r="N218" s="796"/>
      <c r="O218" s="796"/>
      <c r="P218" s="796"/>
      <c r="Q218" s="796"/>
      <c r="R218" s="796"/>
      <c r="S218" s="796"/>
      <c r="T218" s="796"/>
      <c r="U218" s="796"/>
      <c r="V218" s="796"/>
      <c r="W218" s="796"/>
      <c r="X218" s="796"/>
      <c r="Y218" s="796" t="s">
        <v>1826</v>
      </c>
      <c r="Z218" s="796" t="s">
        <v>2222</v>
      </c>
      <c r="AA218" s="796" t="s">
        <v>2222</v>
      </c>
      <c r="AB218" s="796" t="s">
        <v>1827</v>
      </c>
      <c r="AC218" s="796" t="s">
        <v>2221</v>
      </c>
      <c r="AD218" s="796" t="s">
        <v>2222</v>
      </c>
      <c r="AE218" s="796"/>
      <c r="AF218" s="796"/>
      <c r="AG218" s="796"/>
      <c r="AH218" s="796"/>
      <c r="AI218" s="796"/>
      <c r="AJ218" s="796"/>
      <c r="AK218" s="796"/>
      <c r="AL218" s="796"/>
      <c r="AM218" s="796"/>
      <c r="AN218" s="796"/>
      <c r="AO218" s="796"/>
      <c r="AP218" s="796"/>
      <c r="AQ218" s="796"/>
      <c r="AR218" s="796"/>
      <c r="AS218" s="796"/>
      <c r="AT218" s="796"/>
      <c r="AU218" s="796"/>
    </row>
    <row r="219" spans="1:47" ht="13.5">
      <c r="A219" s="796" t="s">
        <v>1828</v>
      </c>
      <c r="B219" s="796" t="s">
        <v>2221</v>
      </c>
      <c r="C219" s="796" t="s">
        <v>2221</v>
      </c>
      <c r="D219" s="796" t="s">
        <v>1829</v>
      </c>
      <c r="E219" s="796" t="s">
        <v>2225</v>
      </c>
      <c r="F219" s="796" t="s">
        <v>2226</v>
      </c>
      <c r="G219" s="796"/>
      <c r="H219" s="796"/>
      <c r="I219" s="796"/>
      <c r="J219" s="796"/>
      <c r="K219" s="796"/>
      <c r="L219" s="796"/>
      <c r="M219" s="796"/>
      <c r="N219" s="796"/>
      <c r="O219" s="796"/>
      <c r="P219" s="796"/>
      <c r="Q219" s="796"/>
      <c r="R219" s="796"/>
      <c r="S219" s="796"/>
      <c r="T219" s="796"/>
      <c r="U219" s="796"/>
      <c r="V219" s="796"/>
      <c r="W219" s="796"/>
      <c r="X219" s="796"/>
      <c r="Y219" s="796" t="s">
        <v>1830</v>
      </c>
      <c r="Z219" s="796" t="s">
        <v>2221</v>
      </c>
      <c r="AA219" s="796" t="s">
        <v>2222</v>
      </c>
      <c r="AB219" s="796" t="s">
        <v>1831</v>
      </c>
      <c r="AC219" s="796" t="s">
        <v>2221</v>
      </c>
      <c r="AD219" s="796" t="s">
        <v>2221</v>
      </c>
      <c r="AE219" s="796"/>
      <c r="AF219" s="796"/>
      <c r="AG219" s="796"/>
      <c r="AH219" s="796"/>
      <c r="AI219" s="796"/>
      <c r="AJ219" s="796"/>
      <c r="AK219" s="796"/>
      <c r="AL219" s="796"/>
      <c r="AM219" s="796"/>
      <c r="AN219" s="796"/>
      <c r="AO219" s="796"/>
      <c r="AP219" s="796"/>
      <c r="AQ219" s="796"/>
      <c r="AR219" s="796"/>
      <c r="AS219" s="796"/>
      <c r="AT219" s="796"/>
      <c r="AU219" s="796"/>
    </row>
    <row r="220" spans="1:47" ht="13.5">
      <c r="A220" s="796" t="s">
        <v>1832</v>
      </c>
      <c r="B220" s="796" t="s">
        <v>2224</v>
      </c>
      <c r="C220" s="796" t="s">
        <v>2224</v>
      </c>
      <c r="D220" s="796" t="s">
        <v>1833</v>
      </c>
      <c r="E220" s="796" t="s">
        <v>2427</v>
      </c>
      <c r="F220" s="796" t="s">
        <v>2226</v>
      </c>
      <c r="G220" s="796"/>
      <c r="H220" s="796"/>
      <c r="I220" s="796"/>
      <c r="J220" s="796"/>
      <c r="K220" s="796"/>
      <c r="L220" s="796"/>
      <c r="M220" s="796"/>
      <c r="N220" s="796"/>
      <c r="O220" s="796"/>
      <c r="P220" s="796"/>
      <c r="Q220" s="796"/>
      <c r="R220" s="796"/>
      <c r="S220" s="796"/>
      <c r="T220" s="796"/>
      <c r="U220" s="796"/>
      <c r="V220" s="796"/>
      <c r="W220" s="796"/>
      <c r="X220" s="796"/>
      <c r="Y220" s="796" t="s">
        <v>1834</v>
      </c>
      <c r="Z220" s="796" t="s">
        <v>2222</v>
      </c>
      <c r="AA220" s="796" t="s">
        <v>2222</v>
      </c>
      <c r="AB220" s="796" t="s">
        <v>1835</v>
      </c>
      <c r="AC220" s="796" t="s">
        <v>2224</v>
      </c>
      <c r="AD220" s="796" t="s">
        <v>2224</v>
      </c>
      <c r="AE220" s="796"/>
      <c r="AF220" s="796"/>
      <c r="AG220" s="796"/>
      <c r="AH220" s="796"/>
      <c r="AI220" s="796"/>
      <c r="AJ220" s="796"/>
      <c r="AK220" s="796"/>
      <c r="AL220" s="796"/>
      <c r="AM220" s="796"/>
      <c r="AN220" s="796"/>
      <c r="AO220" s="796"/>
      <c r="AP220" s="796"/>
      <c r="AQ220" s="796"/>
      <c r="AR220" s="796"/>
      <c r="AS220" s="796"/>
      <c r="AT220" s="796"/>
      <c r="AU220" s="796"/>
    </row>
    <row r="221" spans="1:47" ht="13.5">
      <c r="A221" s="796" t="s">
        <v>1836</v>
      </c>
      <c r="B221" s="796" t="s">
        <v>2224</v>
      </c>
      <c r="C221" s="796" t="s">
        <v>2224</v>
      </c>
      <c r="D221" s="796" t="s">
        <v>1837</v>
      </c>
      <c r="E221" s="796" t="s">
        <v>2223</v>
      </c>
      <c r="F221" s="796" t="s">
        <v>2223</v>
      </c>
      <c r="G221" s="796"/>
      <c r="H221" s="796"/>
      <c r="I221" s="796"/>
      <c r="J221" s="796"/>
      <c r="K221" s="796"/>
      <c r="L221" s="796"/>
      <c r="M221" s="796"/>
      <c r="N221" s="796"/>
      <c r="O221" s="796"/>
      <c r="P221" s="796"/>
      <c r="Q221" s="796"/>
      <c r="R221" s="796"/>
      <c r="S221" s="796"/>
      <c r="T221" s="796"/>
      <c r="U221" s="796"/>
      <c r="V221" s="796"/>
      <c r="W221" s="796"/>
      <c r="X221" s="796"/>
      <c r="Y221" s="796" t="s">
        <v>1838</v>
      </c>
      <c r="Z221" s="796" t="s">
        <v>2222</v>
      </c>
      <c r="AA221" s="796" t="s">
        <v>2222</v>
      </c>
      <c r="AB221" s="796" t="s">
        <v>1839</v>
      </c>
      <c r="AC221" s="796" t="s">
        <v>2222</v>
      </c>
      <c r="AD221" s="796" t="s">
        <v>2222</v>
      </c>
      <c r="AE221" s="796"/>
      <c r="AF221" s="796"/>
      <c r="AG221" s="796"/>
      <c r="AH221" s="796"/>
      <c r="AI221" s="796"/>
      <c r="AJ221" s="796"/>
      <c r="AK221" s="796"/>
      <c r="AL221" s="796"/>
      <c r="AM221" s="796"/>
      <c r="AN221" s="796"/>
      <c r="AO221" s="796"/>
      <c r="AP221" s="796"/>
      <c r="AQ221" s="796"/>
      <c r="AR221" s="796"/>
      <c r="AS221" s="796"/>
      <c r="AT221" s="796"/>
      <c r="AU221" s="796"/>
    </row>
    <row r="222" spans="1:47" ht="13.5">
      <c r="A222" s="796" t="s">
        <v>1840</v>
      </c>
      <c r="B222" s="796" t="s">
        <v>2221</v>
      </c>
      <c r="C222" s="796" t="s">
        <v>2221</v>
      </c>
      <c r="D222" s="796" t="s">
        <v>1841</v>
      </c>
      <c r="E222" s="796" t="s">
        <v>2427</v>
      </c>
      <c r="F222" s="796" t="s">
        <v>2226</v>
      </c>
      <c r="G222" s="796"/>
      <c r="H222" s="796"/>
      <c r="I222" s="796"/>
      <c r="J222" s="796"/>
      <c r="K222" s="796"/>
      <c r="L222" s="796"/>
      <c r="M222" s="796"/>
      <c r="N222" s="796"/>
      <c r="O222" s="796"/>
      <c r="P222" s="796"/>
      <c r="Q222" s="796"/>
      <c r="R222" s="796"/>
      <c r="S222" s="796"/>
      <c r="T222" s="796"/>
      <c r="U222" s="796"/>
      <c r="V222" s="796"/>
      <c r="W222" s="796"/>
      <c r="X222" s="796"/>
      <c r="Y222" s="796" t="s">
        <v>1842</v>
      </c>
      <c r="Z222" s="796" t="s">
        <v>2223</v>
      </c>
      <c r="AA222" s="796" t="s">
        <v>2223</v>
      </c>
      <c r="AB222" s="796" t="s">
        <v>1843</v>
      </c>
      <c r="AC222" s="796" t="s">
        <v>2223</v>
      </c>
      <c r="AD222" s="796" t="s">
        <v>2223</v>
      </c>
      <c r="AE222" s="796"/>
      <c r="AF222" s="796"/>
      <c r="AG222" s="796"/>
      <c r="AH222" s="796"/>
      <c r="AI222" s="796"/>
      <c r="AJ222" s="796"/>
      <c r="AK222" s="796"/>
      <c r="AL222" s="796"/>
      <c r="AM222" s="796"/>
      <c r="AN222" s="796"/>
      <c r="AO222" s="796"/>
      <c r="AP222" s="796"/>
      <c r="AQ222" s="796"/>
      <c r="AR222" s="796"/>
      <c r="AS222" s="796"/>
      <c r="AT222" s="796"/>
      <c r="AU222" s="796"/>
    </row>
    <row r="223" spans="1:47" ht="13.5">
      <c r="A223" s="796" t="s">
        <v>1844</v>
      </c>
      <c r="B223" s="796" t="s">
        <v>2224</v>
      </c>
      <c r="C223" s="796" t="s">
        <v>2224</v>
      </c>
      <c r="D223" s="796" t="s">
        <v>1845</v>
      </c>
      <c r="E223" s="796" t="s">
        <v>2223</v>
      </c>
      <c r="F223" s="796" t="s">
        <v>2223</v>
      </c>
      <c r="G223" s="796"/>
      <c r="H223" s="796"/>
      <c r="I223" s="796"/>
      <c r="J223" s="796"/>
      <c r="K223" s="796"/>
      <c r="L223" s="796"/>
      <c r="M223" s="796"/>
      <c r="N223" s="796"/>
      <c r="O223" s="796"/>
      <c r="P223" s="796"/>
      <c r="Q223" s="796"/>
      <c r="R223" s="796"/>
      <c r="S223" s="796"/>
      <c r="T223" s="796"/>
      <c r="U223" s="796"/>
      <c r="V223" s="796"/>
      <c r="W223" s="796"/>
      <c r="X223" s="796"/>
      <c r="Y223" s="796" t="s">
        <v>1846</v>
      </c>
      <c r="Z223" s="796" t="s">
        <v>2221</v>
      </c>
      <c r="AA223" s="796" t="s">
        <v>2221</v>
      </c>
      <c r="AB223" s="796" t="s">
        <v>1847</v>
      </c>
      <c r="AC223" s="796" t="s">
        <v>2221</v>
      </c>
      <c r="AD223" s="796" t="s">
        <v>2221</v>
      </c>
      <c r="AE223" s="796"/>
      <c r="AF223" s="796"/>
      <c r="AG223" s="796"/>
      <c r="AH223" s="796"/>
      <c r="AI223" s="796"/>
      <c r="AJ223" s="796"/>
      <c r="AK223" s="796"/>
      <c r="AL223" s="796"/>
      <c r="AM223" s="796"/>
      <c r="AN223" s="796"/>
      <c r="AO223" s="796"/>
      <c r="AP223" s="796"/>
      <c r="AQ223" s="796"/>
      <c r="AR223" s="796"/>
      <c r="AS223" s="796"/>
      <c r="AT223" s="796"/>
      <c r="AU223" s="796"/>
    </row>
    <row r="224" spans="1:47" ht="13.5">
      <c r="A224" s="796" t="s">
        <v>1848</v>
      </c>
      <c r="B224" s="796" t="s">
        <v>2224</v>
      </c>
      <c r="C224" s="796" t="s">
        <v>2224</v>
      </c>
      <c r="D224" s="796" t="s">
        <v>1849</v>
      </c>
      <c r="E224" s="796" t="s">
        <v>2224</v>
      </c>
      <c r="F224" s="796" t="s">
        <v>2224</v>
      </c>
      <c r="G224" s="796"/>
      <c r="H224" s="796"/>
      <c r="I224" s="796"/>
      <c r="J224" s="796"/>
      <c r="K224" s="796"/>
      <c r="L224" s="796"/>
      <c r="M224" s="796"/>
      <c r="N224" s="796"/>
      <c r="O224" s="796"/>
      <c r="P224" s="796"/>
      <c r="Q224" s="796"/>
      <c r="R224" s="796"/>
      <c r="S224" s="796"/>
      <c r="T224" s="796"/>
      <c r="U224" s="796"/>
      <c r="V224" s="796"/>
      <c r="W224" s="796"/>
      <c r="X224" s="796"/>
      <c r="Y224" s="796" t="s">
        <v>1850</v>
      </c>
      <c r="Z224" s="796" t="s">
        <v>2221</v>
      </c>
      <c r="AA224" s="796" t="s">
        <v>2221</v>
      </c>
      <c r="AB224" s="796" t="s">
        <v>1851</v>
      </c>
      <c r="AC224" s="796" t="s">
        <v>2223</v>
      </c>
      <c r="AD224" s="796" t="s">
        <v>2223</v>
      </c>
      <c r="AE224" s="796"/>
      <c r="AF224" s="796"/>
      <c r="AG224" s="796"/>
      <c r="AH224" s="796"/>
      <c r="AI224" s="796"/>
      <c r="AJ224" s="796"/>
      <c r="AK224" s="796"/>
      <c r="AL224" s="796"/>
      <c r="AM224" s="796"/>
      <c r="AN224" s="796"/>
      <c r="AO224" s="796"/>
      <c r="AP224" s="796"/>
      <c r="AQ224" s="796"/>
      <c r="AR224" s="796"/>
      <c r="AS224" s="796"/>
      <c r="AT224" s="796"/>
      <c r="AU224" s="796"/>
    </row>
    <row r="225" spans="1:47" ht="13.5">
      <c r="A225" s="796" t="s">
        <v>1852</v>
      </c>
      <c r="B225" s="796" t="s">
        <v>2223</v>
      </c>
      <c r="C225" s="796" t="s">
        <v>2223</v>
      </c>
      <c r="D225" s="796" t="s">
        <v>1853</v>
      </c>
      <c r="E225" s="796" t="s">
        <v>2221</v>
      </c>
      <c r="F225" s="796" t="s">
        <v>2222</v>
      </c>
      <c r="G225" s="796"/>
      <c r="H225" s="796"/>
      <c r="I225" s="796"/>
      <c r="J225" s="796"/>
      <c r="K225" s="796"/>
      <c r="L225" s="796"/>
      <c r="M225" s="796"/>
      <c r="N225" s="796"/>
      <c r="O225" s="796"/>
      <c r="P225" s="796"/>
      <c r="Q225" s="796"/>
      <c r="R225" s="796"/>
      <c r="S225" s="796"/>
      <c r="T225" s="796"/>
      <c r="U225" s="796"/>
      <c r="V225" s="796"/>
      <c r="W225" s="796"/>
      <c r="X225" s="796"/>
      <c r="Y225" s="796" t="s">
        <v>1854</v>
      </c>
      <c r="Z225" s="796" t="s">
        <v>2222</v>
      </c>
      <c r="AA225" s="796" t="s">
        <v>2223</v>
      </c>
      <c r="AB225" s="796" t="s">
        <v>1855</v>
      </c>
      <c r="AC225" s="796" t="s">
        <v>2225</v>
      </c>
      <c r="AD225" s="796" t="s">
        <v>2225</v>
      </c>
      <c r="AE225" s="796"/>
      <c r="AF225" s="796"/>
      <c r="AG225" s="796"/>
      <c r="AH225" s="796"/>
      <c r="AI225" s="796"/>
      <c r="AJ225" s="796"/>
      <c r="AK225" s="796"/>
      <c r="AL225" s="796"/>
      <c r="AM225" s="796"/>
      <c r="AN225" s="796"/>
      <c r="AO225" s="796"/>
      <c r="AP225" s="796"/>
      <c r="AQ225" s="796"/>
      <c r="AR225" s="796"/>
      <c r="AS225" s="796"/>
      <c r="AT225" s="796"/>
      <c r="AU225" s="796"/>
    </row>
    <row r="226" spans="1:47" ht="13.5">
      <c r="A226" s="796" t="s">
        <v>1856</v>
      </c>
      <c r="B226" s="796" t="s">
        <v>2222</v>
      </c>
      <c r="C226" s="796" t="s">
        <v>2222</v>
      </c>
      <c r="D226" s="796" t="s">
        <v>1857</v>
      </c>
      <c r="E226" s="796" t="s">
        <v>2222</v>
      </c>
      <c r="F226" s="796" t="s">
        <v>2223</v>
      </c>
      <c r="G226" s="796"/>
      <c r="H226" s="796"/>
      <c r="I226" s="796"/>
      <c r="J226" s="796"/>
      <c r="K226" s="796"/>
      <c r="L226" s="796"/>
      <c r="M226" s="796"/>
      <c r="N226" s="796"/>
      <c r="O226" s="796"/>
      <c r="P226" s="796"/>
      <c r="Q226" s="796"/>
      <c r="R226" s="796"/>
      <c r="S226" s="796"/>
      <c r="T226" s="796"/>
      <c r="U226" s="796"/>
      <c r="V226" s="796"/>
      <c r="W226" s="796"/>
      <c r="X226" s="796"/>
      <c r="Y226" s="796" t="s">
        <v>1858</v>
      </c>
      <c r="Z226" s="796" t="s">
        <v>2221</v>
      </c>
      <c r="AA226" s="796"/>
      <c r="AB226" s="796" t="s">
        <v>1859</v>
      </c>
      <c r="AC226" s="796" t="s">
        <v>2221</v>
      </c>
      <c r="AD226" s="796" t="s">
        <v>2222</v>
      </c>
      <c r="AE226" s="796"/>
      <c r="AF226" s="796"/>
      <c r="AG226" s="796"/>
      <c r="AH226" s="796"/>
      <c r="AI226" s="796"/>
      <c r="AJ226" s="796"/>
      <c r="AK226" s="796"/>
      <c r="AL226" s="796"/>
      <c r="AM226" s="796"/>
      <c r="AN226" s="796"/>
      <c r="AO226" s="796"/>
      <c r="AP226" s="796"/>
      <c r="AQ226" s="796"/>
      <c r="AR226" s="796"/>
      <c r="AS226" s="796"/>
      <c r="AT226" s="796"/>
      <c r="AU226" s="796"/>
    </row>
    <row r="227" spans="1:47" ht="13.5">
      <c r="A227" s="796" t="s">
        <v>1860</v>
      </c>
      <c r="B227" s="796" t="s">
        <v>2225</v>
      </c>
      <c r="C227" s="796" t="s">
        <v>2225</v>
      </c>
      <c r="D227" s="796" t="s">
        <v>1861</v>
      </c>
      <c r="E227" s="796" t="s">
        <v>2221</v>
      </c>
      <c r="F227" s="796" t="s">
        <v>2221</v>
      </c>
      <c r="G227" s="796"/>
      <c r="H227" s="796"/>
      <c r="I227" s="796"/>
      <c r="J227" s="796"/>
      <c r="K227" s="796"/>
      <c r="L227" s="796"/>
      <c r="M227" s="796"/>
      <c r="N227" s="796"/>
      <c r="O227" s="796"/>
      <c r="P227" s="796"/>
      <c r="Q227" s="796"/>
      <c r="R227" s="796"/>
      <c r="S227" s="796"/>
      <c r="T227" s="796"/>
      <c r="U227" s="796"/>
      <c r="V227" s="796"/>
      <c r="W227" s="796"/>
      <c r="X227" s="796"/>
      <c r="Y227" s="796" t="s">
        <v>1862</v>
      </c>
      <c r="Z227" s="796" t="s">
        <v>2221</v>
      </c>
      <c r="AA227" s="796" t="s">
        <v>2222</v>
      </c>
      <c r="AB227" s="796" t="s">
        <v>1863</v>
      </c>
      <c r="AC227" s="796" t="s">
        <v>2221</v>
      </c>
      <c r="AD227" s="796" t="s">
        <v>2222</v>
      </c>
      <c r="AE227" s="796"/>
      <c r="AF227" s="796"/>
      <c r="AG227" s="796"/>
      <c r="AH227" s="796"/>
      <c r="AI227" s="796"/>
      <c r="AJ227" s="796"/>
      <c r="AK227" s="796"/>
      <c r="AL227" s="796"/>
      <c r="AM227" s="796"/>
      <c r="AN227" s="796"/>
      <c r="AO227" s="796"/>
      <c r="AP227" s="796"/>
      <c r="AQ227" s="796"/>
      <c r="AR227" s="796"/>
      <c r="AS227" s="796"/>
      <c r="AT227" s="796"/>
      <c r="AU227" s="796"/>
    </row>
    <row r="228" spans="1:47" ht="13.5">
      <c r="A228" s="796" t="s">
        <v>1864</v>
      </c>
      <c r="B228" s="796" t="s">
        <v>2224</v>
      </c>
      <c r="C228" s="796" t="s">
        <v>2224</v>
      </c>
      <c r="D228" s="796" t="s">
        <v>1865</v>
      </c>
      <c r="E228" s="796" t="s">
        <v>2224</v>
      </c>
      <c r="F228" s="796" t="s">
        <v>2223</v>
      </c>
      <c r="G228" s="796"/>
      <c r="H228" s="796"/>
      <c r="I228" s="796"/>
      <c r="J228" s="796"/>
      <c r="K228" s="796"/>
      <c r="L228" s="796"/>
      <c r="M228" s="796"/>
      <c r="N228" s="796"/>
      <c r="O228" s="796"/>
      <c r="P228" s="796"/>
      <c r="Q228" s="796"/>
      <c r="R228" s="796"/>
      <c r="S228" s="796"/>
      <c r="T228" s="796"/>
      <c r="U228" s="796"/>
      <c r="V228" s="796"/>
      <c r="W228" s="796"/>
      <c r="X228" s="796"/>
      <c r="Y228" s="796" t="s">
        <v>1866</v>
      </c>
      <c r="Z228" s="796" t="s">
        <v>2221</v>
      </c>
      <c r="AA228" s="796" t="s">
        <v>2221</v>
      </c>
      <c r="AB228" s="796" t="s">
        <v>1867</v>
      </c>
      <c r="AC228" s="796" t="s">
        <v>2222</v>
      </c>
      <c r="AD228" s="796" t="s">
        <v>2223</v>
      </c>
      <c r="AE228" s="796"/>
      <c r="AF228" s="796"/>
      <c r="AG228" s="796"/>
      <c r="AH228" s="796"/>
      <c r="AI228" s="796"/>
      <c r="AJ228" s="796"/>
      <c r="AK228" s="796"/>
      <c r="AL228" s="796"/>
      <c r="AM228" s="796"/>
      <c r="AN228" s="796"/>
      <c r="AO228" s="796"/>
      <c r="AP228" s="796"/>
      <c r="AQ228" s="796"/>
      <c r="AR228" s="796"/>
      <c r="AS228" s="796"/>
      <c r="AT228" s="796"/>
      <c r="AU228" s="796"/>
    </row>
    <row r="229" spans="1:47" ht="13.5">
      <c r="A229" s="796" t="s">
        <v>1868</v>
      </c>
      <c r="B229" s="796" t="s">
        <v>2223</v>
      </c>
      <c r="C229" s="796" t="s">
        <v>2223</v>
      </c>
      <c r="D229" s="796" t="s">
        <v>1869</v>
      </c>
      <c r="E229" s="796" t="s">
        <v>2224</v>
      </c>
      <c r="F229" s="796" t="s">
        <v>2224</v>
      </c>
      <c r="G229" s="796"/>
      <c r="H229" s="796"/>
      <c r="I229" s="796"/>
      <c r="J229" s="796"/>
      <c r="K229" s="796"/>
      <c r="L229" s="796"/>
      <c r="M229" s="796"/>
      <c r="N229" s="796"/>
      <c r="O229" s="796"/>
      <c r="P229" s="796"/>
      <c r="Q229" s="796"/>
      <c r="R229" s="796"/>
      <c r="S229" s="796"/>
      <c r="T229" s="796"/>
      <c r="U229" s="796"/>
      <c r="V229" s="796"/>
      <c r="W229" s="796"/>
      <c r="X229" s="796"/>
      <c r="Y229" s="796" t="s">
        <v>1870</v>
      </c>
      <c r="Z229" s="796" t="s">
        <v>2223</v>
      </c>
      <c r="AA229" s="796" t="s">
        <v>2223</v>
      </c>
      <c r="AB229" s="796" t="s">
        <v>1871</v>
      </c>
      <c r="AC229" s="796" t="s">
        <v>2224</v>
      </c>
      <c r="AD229" s="796" t="s">
        <v>2223</v>
      </c>
      <c r="AE229" s="796"/>
      <c r="AF229" s="796"/>
      <c r="AG229" s="796"/>
      <c r="AH229" s="796"/>
      <c r="AI229" s="796"/>
      <c r="AJ229" s="796"/>
      <c r="AK229" s="796"/>
      <c r="AL229" s="796"/>
      <c r="AM229" s="796"/>
      <c r="AN229" s="796"/>
      <c r="AO229" s="796"/>
      <c r="AP229" s="796"/>
      <c r="AQ229" s="796"/>
      <c r="AR229" s="796"/>
      <c r="AS229" s="796"/>
      <c r="AT229" s="796"/>
      <c r="AU229" s="796"/>
    </row>
    <row r="230" spans="1:47" ht="13.5">
      <c r="A230" s="796" t="s">
        <v>1872</v>
      </c>
      <c r="B230" s="796" t="s">
        <v>2224</v>
      </c>
      <c r="C230" s="796" t="s">
        <v>2225</v>
      </c>
      <c r="D230" s="796" t="s">
        <v>1873</v>
      </c>
      <c r="E230" s="796" t="s">
        <v>2222</v>
      </c>
      <c r="F230" s="796" t="s">
        <v>2222</v>
      </c>
      <c r="G230" s="796"/>
      <c r="H230" s="796"/>
      <c r="I230" s="796"/>
      <c r="J230" s="796"/>
      <c r="K230" s="796"/>
      <c r="L230" s="796"/>
      <c r="M230" s="796"/>
      <c r="N230" s="796"/>
      <c r="O230" s="796"/>
      <c r="P230" s="796"/>
      <c r="Q230" s="796"/>
      <c r="R230" s="796"/>
      <c r="S230" s="796"/>
      <c r="T230" s="796"/>
      <c r="U230" s="796"/>
      <c r="V230" s="796"/>
      <c r="W230" s="796"/>
      <c r="X230" s="796"/>
      <c r="Y230" s="796" t="s">
        <v>1874</v>
      </c>
      <c r="Z230" s="796" t="s">
        <v>2222</v>
      </c>
      <c r="AA230" s="796" t="s">
        <v>2222</v>
      </c>
      <c r="AB230" s="796" t="s">
        <v>1875</v>
      </c>
      <c r="AC230" s="796" t="s">
        <v>2225</v>
      </c>
      <c r="AD230" s="796" t="s">
        <v>2224</v>
      </c>
      <c r="AE230" s="796"/>
      <c r="AF230" s="796"/>
      <c r="AG230" s="796"/>
      <c r="AH230" s="796"/>
      <c r="AI230" s="796"/>
      <c r="AJ230" s="796"/>
      <c r="AK230" s="796"/>
      <c r="AL230" s="796"/>
      <c r="AM230" s="796"/>
      <c r="AN230" s="796"/>
      <c r="AO230" s="796"/>
      <c r="AP230" s="796"/>
      <c r="AQ230" s="796"/>
      <c r="AR230" s="796"/>
      <c r="AS230" s="796"/>
      <c r="AT230" s="796"/>
      <c r="AU230" s="796"/>
    </row>
    <row r="231" spans="1:47" ht="13.5">
      <c r="A231" s="796" t="s">
        <v>1876</v>
      </c>
      <c r="B231" s="796" t="s">
        <v>2222</v>
      </c>
      <c r="C231" s="796" t="s">
        <v>2222</v>
      </c>
      <c r="D231" s="796" t="s">
        <v>1877</v>
      </c>
      <c r="E231" s="796" t="s">
        <v>2225</v>
      </c>
      <c r="F231" s="796" t="s">
        <v>2224</v>
      </c>
      <c r="G231" s="796"/>
      <c r="H231" s="796"/>
      <c r="I231" s="796"/>
      <c r="J231" s="796"/>
      <c r="K231" s="796"/>
      <c r="L231" s="796"/>
      <c r="M231" s="796"/>
      <c r="N231" s="796"/>
      <c r="O231" s="796"/>
      <c r="P231" s="796"/>
      <c r="Q231" s="796"/>
      <c r="R231" s="796"/>
      <c r="S231" s="796"/>
      <c r="T231" s="796"/>
      <c r="U231" s="796"/>
      <c r="V231" s="796"/>
      <c r="W231" s="796"/>
      <c r="X231" s="796"/>
      <c r="Y231" s="796" t="s">
        <v>1878</v>
      </c>
      <c r="Z231" s="796" t="s">
        <v>2221</v>
      </c>
      <c r="AA231" s="796" t="s">
        <v>2221</v>
      </c>
      <c r="AB231" s="796" t="s">
        <v>1879</v>
      </c>
      <c r="AC231" s="796" t="s">
        <v>2222</v>
      </c>
      <c r="AD231" s="796" t="s">
        <v>2222</v>
      </c>
      <c r="AE231" s="796"/>
      <c r="AF231" s="796"/>
      <c r="AG231" s="796"/>
      <c r="AH231" s="796"/>
      <c r="AI231" s="796"/>
      <c r="AJ231" s="796"/>
      <c r="AK231" s="796"/>
      <c r="AL231" s="796"/>
      <c r="AM231" s="796"/>
      <c r="AN231" s="796"/>
      <c r="AO231" s="796"/>
      <c r="AP231" s="796"/>
      <c r="AQ231" s="796"/>
      <c r="AR231" s="796"/>
      <c r="AS231" s="796"/>
      <c r="AT231" s="796"/>
      <c r="AU231" s="796"/>
    </row>
    <row r="232" spans="1:47" ht="13.5">
      <c r="A232" s="796" t="s">
        <v>1880</v>
      </c>
      <c r="B232" s="796" t="s">
        <v>2223</v>
      </c>
      <c r="C232" s="796" t="s">
        <v>2223</v>
      </c>
      <c r="D232" s="796" t="s">
        <v>1881</v>
      </c>
      <c r="E232" s="796" t="s">
        <v>2223</v>
      </c>
      <c r="F232" s="796" t="s">
        <v>2223</v>
      </c>
      <c r="G232" s="796"/>
      <c r="H232" s="796"/>
      <c r="I232" s="796"/>
      <c r="J232" s="796"/>
      <c r="K232" s="796"/>
      <c r="L232" s="796"/>
      <c r="M232" s="796"/>
      <c r="N232" s="796"/>
      <c r="O232" s="796"/>
      <c r="P232" s="796"/>
      <c r="Q232" s="796"/>
      <c r="R232" s="796"/>
      <c r="S232" s="796"/>
      <c r="T232" s="796"/>
      <c r="U232" s="796"/>
      <c r="V232" s="796"/>
      <c r="W232" s="796"/>
      <c r="X232" s="796"/>
      <c r="Y232" s="796" t="s">
        <v>1882</v>
      </c>
      <c r="Z232" s="796" t="s">
        <v>2221</v>
      </c>
      <c r="AA232" s="796" t="s">
        <v>2221</v>
      </c>
      <c r="AB232" s="796" t="s">
        <v>1883</v>
      </c>
      <c r="AC232" s="796" t="s">
        <v>2222</v>
      </c>
      <c r="AD232" s="796" t="s">
        <v>2223</v>
      </c>
      <c r="AE232" s="796"/>
      <c r="AF232" s="796"/>
      <c r="AG232" s="796"/>
      <c r="AH232" s="796"/>
      <c r="AI232" s="796"/>
      <c r="AJ232" s="796"/>
      <c r="AK232" s="796"/>
      <c r="AL232" s="796"/>
      <c r="AM232" s="796"/>
      <c r="AN232" s="796"/>
      <c r="AO232" s="796"/>
      <c r="AP232" s="796"/>
      <c r="AQ232" s="796"/>
      <c r="AR232" s="796"/>
      <c r="AS232" s="796"/>
      <c r="AT232" s="796"/>
      <c r="AU232" s="796"/>
    </row>
    <row r="233" spans="1:47" ht="13.5">
      <c r="A233" s="796" t="s">
        <v>1884</v>
      </c>
      <c r="B233" s="796" t="s">
        <v>2224</v>
      </c>
      <c r="C233" s="796"/>
      <c r="D233" s="796" t="s">
        <v>1885</v>
      </c>
      <c r="E233" s="796" t="s">
        <v>2427</v>
      </c>
      <c r="F233" s="796" t="s">
        <v>2226</v>
      </c>
      <c r="G233" s="796"/>
      <c r="H233" s="796"/>
      <c r="I233" s="796"/>
      <c r="J233" s="796"/>
      <c r="K233" s="796"/>
      <c r="L233" s="796"/>
      <c r="M233" s="796"/>
      <c r="N233" s="796"/>
      <c r="O233" s="796"/>
      <c r="P233" s="796"/>
      <c r="Q233" s="796"/>
      <c r="R233" s="796"/>
      <c r="S233" s="796"/>
      <c r="T233" s="796"/>
      <c r="U233" s="796"/>
      <c r="V233" s="796"/>
      <c r="W233" s="796"/>
      <c r="X233" s="796"/>
      <c r="Y233" s="796" t="s">
        <v>1886</v>
      </c>
      <c r="Z233" s="796" t="s">
        <v>2222</v>
      </c>
      <c r="AA233" s="796" t="s">
        <v>2222</v>
      </c>
      <c r="AB233" s="796" t="s">
        <v>1887</v>
      </c>
      <c r="AC233" s="796" t="s">
        <v>2222</v>
      </c>
      <c r="AD233" s="796" t="s">
        <v>2222</v>
      </c>
      <c r="AE233" s="796"/>
      <c r="AF233" s="796"/>
      <c r="AG233" s="796"/>
      <c r="AH233" s="796"/>
      <c r="AI233" s="796"/>
      <c r="AJ233" s="796"/>
      <c r="AK233" s="796"/>
      <c r="AL233" s="796"/>
      <c r="AM233" s="796"/>
      <c r="AN233" s="796"/>
      <c r="AO233" s="796"/>
      <c r="AP233" s="796"/>
      <c r="AQ233" s="796"/>
      <c r="AR233" s="796"/>
      <c r="AS233" s="796"/>
      <c r="AT233" s="796"/>
      <c r="AU233" s="796"/>
    </row>
    <row r="234" spans="1:47" ht="13.5">
      <c r="A234" s="796" t="s">
        <v>1888</v>
      </c>
      <c r="B234" s="796" t="s">
        <v>2223</v>
      </c>
      <c r="C234" s="796" t="s">
        <v>2223</v>
      </c>
      <c r="D234" s="796" t="s">
        <v>1889</v>
      </c>
      <c r="E234" s="796" t="s">
        <v>2427</v>
      </c>
      <c r="F234" s="796" t="s">
        <v>2226</v>
      </c>
      <c r="G234" s="796"/>
      <c r="H234" s="796"/>
      <c r="I234" s="796"/>
      <c r="J234" s="796"/>
      <c r="K234" s="796"/>
      <c r="L234" s="796"/>
      <c r="M234" s="796"/>
      <c r="N234" s="796"/>
      <c r="O234" s="796"/>
      <c r="P234" s="796"/>
      <c r="Q234" s="796"/>
      <c r="R234" s="796"/>
      <c r="S234" s="796"/>
      <c r="T234" s="796"/>
      <c r="U234" s="796"/>
      <c r="V234" s="796"/>
      <c r="W234" s="796"/>
      <c r="X234" s="796"/>
      <c r="Y234" s="796" t="s">
        <v>1890</v>
      </c>
      <c r="Z234" s="796" t="s">
        <v>2222</v>
      </c>
      <c r="AA234" s="796" t="s">
        <v>2222</v>
      </c>
      <c r="AB234" s="796" t="s">
        <v>1891</v>
      </c>
      <c r="AC234" s="796" t="s">
        <v>2222</v>
      </c>
      <c r="AD234" s="796" t="s">
        <v>2223</v>
      </c>
      <c r="AE234" s="796"/>
      <c r="AF234" s="796"/>
      <c r="AG234" s="796"/>
      <c r="AH234" s="796"/>
      <c r="AI234" s="796"/>
      <c r="AJ234" s="796"/>
      <c r="AK234" s="796"/>
      <c r="AL234" s="796"/>
      <c r="AM234" s="796"/>
      <c r="AN234" s="796"/>
      <c r="AO234" s="796"/>
      <c r="AP234" s="796"/>
      <c r="AQ234" s="796"/>
      <c r="AR234" s="796"/>
      <c r="AS234" s="796"/>
      <c r="AT234" s="796"/>
      <c r="AU234" s="796"/>
    </row>
    <row r="235" spans="1:47" ht="13.5">
      <c r="A235" s="796" t="s">
        <v>1892</v>
      </c>
      <c r="B235" s="796" t="s">
        <v>2224</v>
      </c>
      <c r="C235" s="796" t="s">
        <v>2224</v>
      </c>
      <c r="D235" s="796" t="s">
        <v>1893</v>
      </c>
      <c r="E235" s="796" t="s">
        <v>2222</v>
      </c>
      <c r="F235" s="796" t="s">
        <v>2221</v>
      </c>
      <c r="G235" s="796"/>
      <c r="H235" s="796"/>
      <c r="I235" s="796"/>
      <c r="J235" s="796"/>
      <c r="K235" s="796"/>
      <c r="L235" s="796"/>
      <c r="M235" s="796"/>
      <c r="N235" s="796"/>
      <c r="O235" s="796"/>
      <c r="P235" s="796"/>
      <c r="Q235" s="796"/>
      <c r="R235" s="796"/>
      <c r="S235" s="796"/>
      <c r="T235" s="796"/>
      <c r="U235" s="796"/>
      <c r="V235" s="796"/>
      <c r="W235" s="796"/>
      <c r="X235" s="796"/>
      <c r="Y235" s="796" t="s">
        <v>1894</v>
      </c>
      <c r="Z235" s="796" t="s">
        <v>2222</v>
      </c>
      <c r="AA235" s="796" t="s">
        <v>2221</v>
      </c>
      <c r="AB235" s="796" t="s">
        <v>1895</v>
      </c>
      <c r="AC235" s="796" t="s">
        <v>2223</v>
      </c>
      <c r="AD235" s="796" t="s">
        <v>2223</v>
      </c>
      <c r="AE235" s="796"/>
      <c r="AF235" s="796"/>
      <c r="AG235" s="796"/>
      <c r="AH235" s="796"/>
      <c r="AI235" s="796"/>
      <c r="AJ235" s="796"/>
      <c r="AK235" s="796"/>
      <c r="AL235" s="796"/>
      <c r="AM235" s="796"/>
      <c r="AN235" s="796"/>
      <c r="AO235" s="796"/>
      <c r="AP235" s="796"/>
      <c r="AQ235" s="796"/>
      <c r="AR235" s="796"/>
      <c r="AS235" s="796"/>
      <c r="AT235" s="796"/>
      <c r="AU235" s="796"/>
    </row>
    <row r="236" spans="1:47" ht="13.5">
      <c r="A236" s="796" t="s">
        <v>1896</v>
      </c>
      <c r="B236" s="796" t="s">
        <v>2221</v>
      </c>
      <c r="C236" s="796" t="s">
        <v>2222</v>
      </c>
      <c r="D236" s="796" t="s">
        <v>1897</v>
      </c>
      <c r="E236" s="796" t="s">
        <v>2226</v>
      </c>
      <c r="F236" s="796" t="s">
        <v>2226</v>
      </c>
      <c r="G236" s="796"/>
      <c r="H236" s="796"/>
      <c r="I236" s="796"/>
      <c r="J236" s="796"/>
      <c r="K236" s="796"/>
      <c r="L236" s="796"/>
      <c r="M236" s="796"/>
      <c r="N236" s="796"/>
      <c r="O236" s="796"/>
      <c r="P236" s="796"/>
      <c r="Q236" s="796"/>
      <c r="R236" s="796"/>
      <c r="S236" s="796"/>
      <c r="T236" s="796"/>
      <c r="U236" s="796"/>
      <c r="V236" s="796"/>
      <c r="W236" s="796"/>
      <c r="X236" s="796"/>
      <c r="Y236" s="796" t="s">
        <v>1898</v>
      </c>
      <c r="Z236" s="796" t="s">
        <v>2224</v>
      </c>
      <c r="AA236" s="796" t="s">
        <v>2225</v>
      </c>
      <c r="AB236" s="796" t="s">
        <v>1899</v>
      </c>
      <c r="AC236" s="796" t="s">
        <v>2222</v>
      </c>
      <c r="AD236" s="796" t="s">
        <v>2222</v>
      </c>
      <c r="AE236" s="796"/>
      <c r="AF236" s="796"/>
      <c r="AG236" s="796"/>
      <c r="AH236" s="796"/>
      <c r="AI236" s="796"/>
      <c r="AJ236" s="796"/>
      <c r="AK236" s="796"/>
      <c r="AL236" s="796"/>
      <c r="AM236" s="796"/>
      <c r="AN236" s="796"/>
      <c r="AO236" s="796"/>
      <c r="AP236" s="796"/>
      <c r="AQ236" s="796"/>
      <c r="AR236" s="796"/>
      <c r="AS236" s="796"/>
      <c r="AT236" s="796"/>
      <c r="AU236" s="796"/>
    </row>
    <row r="237" spans="1:47" ht="13.5">
      <c r="A237" s="796" t="s">
        <v>1900</v>
      </c>
      <c r="B237" s="796" t="s">
        <v>2224</v>
      </c>
      <c r="C237" s="796" t="s">
        <v>2224</v>
      </c>
      <c r="D237" s="796" t="s">
        <v>1901</v>
      </c>
      <c r="E237" s="796" t="s">
        <v>2221</v>
      </c>
      <c r="F237" s="796" t="s">
        <v>2221</v>
      </c>
      <c r="G237" s="796"/>
      <c r="H237" s="796"/>
      <c r="I237" s="796"/>
      <c r="J237" s="796"/>
      <c r="K237" s="796"/>
      <c r="L237" s="796"/>
      <c r="M237" s="796"/>
      <c r="N237" s="796"/>
      <c r="O237" s="796"/>
      <c r="P237" s="796"/>
      <c r="Q237" s="796"/>
      <c r="R237" s="796"/>
      <c r="S237" s="796"/>
      <c r="T237" s="796"/>
      <c r="U237" s="796"/>
      <c r="V237" s="796"/>
      <c r="W237" s="796"/>
      <c r="X237" s="796"/>
      <c r="Y237" s="796" t="s">
        <v>1902</v>
      </c>
      <c r="Z237" s="796" t="s">
        <v>2221</v>
      </c>
      <c r="AA237" s="796" t="s">
        <v>2221</v>
      </c>
      <c r="AB237" s="796" t="s">
        <v>1903</v>
      </c>
      <c r="AC237" s="796" t="s">
        <v>2223</v>
      </c>
      <c r="AD237" s="796" t="s">
        <v>2223</v>
      </c>
      <c r="AE237" s="796"/>
      <c r="AF237" s="796"/>
      <c r="AG237" s="796"/>
      <c r="AH237" s="796"/>
      <c r="AI237" s="796"/>
      <c r="AJ237" s="796"/>
      <c r="AK237" s="796"/>
      <c r="AL237" s="796"/>
      <c r="AM237" s="796"/>
      <c r="AN237" s="796"/>
      <c r="AO237" s="796"/>
      <c r="AP237" s="796"/>
      <c r="AQ237" s="796"/>
      <c r="AR237" s="796"/>
      <c r="AS237" s="796"/>
      <c r="AT237" s="796"/>
      <c r="AU237" s="796"/>
    </row>
    <row r="238" spans="1:47" ht="13.5">
      <c r="A238" s="796" t="s">
        <v>1904</v>
      </c>
      <c r="B238" s="796" t="s">
        <v>2223</v>
      </c>
      <c r="C238" s="796" t="s">
        <v>2223</v>
      </c>
      <c r="D238" s="796" t="s">
        <v>1905</v>
      </c>
      <c r="E238" s="796" t="s">
        <v>2427</v>
      </c>
      <c r="F238" s="796" t="s">
        <v>2226</v>
      </c>
      <c r="G238" s="796"/>
      <c r="H238" s="796"/>
      <c r="I238" s="796"/>
      <c r="J238" s="796"/>
      <c r="K238" s="796"/>
      <c r="L238" s="796"/>
      <c r="M238" s="796"/>
      <c r="N238" s="796"/>
      <c r="O238" s="796"/>
      <c r="P238" s="796"/>
      <c r="Q238" s="796"/>
      <c r="R238" s="796"/>
      <c r="S238" s="796"/>
      <c r="T238" s="796"/>
      <c r="U238" s="796"/>
      <c r="V238" s="796"/>
      <c r="W238" s="796"/>
      <c r="X238" s="796"/>
      <c r="Y238" s="796" t="s">
        <v>1906</v>
      </c>
      <c r="Z238" s="796" t="s">
        <v>2221</v>
      </c>
      <c r="AA238" s="796" t="s">
        <v>2221</v>
      </c>
      <c r="AB238" s="796" t="s">
        <v>1907</v>
      </c>
      <c r="AC238" s="796" t="s">
        <v>2224</v>
      </c>
      <c r="AD238" s="796" t="s">
        <v>2225</v>
      </c>
      <c r="AE238" s="796"/>
      <c r="AF238" s="796"/>
      <c r="AG238" s="796"/>
      <c r="AH238" s="796"/>
      <c r="AI238" s="796"/>
      <c r="AJ238" s="796"/>
      <c r="AK238" s="796"/>
      <c r="AL238" s="796"/>
      <c r="AM238" s="796"/>
      <c r="AN238" s="796"/>
      <c r="AO238" s="796"/>
      <c r="AP238" s="796"/>
      <c r="AQ238" s="796"/>
      <c r="AR238" s="796"/>
      <c r="AS238" s="796"/>
      <c r="AT238" s="796"/>
      <c r="AU238" s="796"/>
    </row>
    <row r="239" spans="1:47" ht="13.5">
      <c r="A239" s="796" t="s">
        <v>1908</v>
      </c>
      <c r="B239" s="796" t="s">
        <v>2222</v>
      </c>
      <c r="C239" s="796" t="s">
        <v>2222</v>
      </c>
      <c r="D239" s="796" t="s">
        <v>1909</v>
      </c>
      <c r="E239" s="796" t="s">
        <v>2223</v>
      </c>
      <c r="F239" s="796" t="s">
        <v>2222</v>
      </c>
      <c r="G239" s="796"/>
      <c r="H239" s="796"/>
      <c r="I239" s="796"/>
      <c r="J239" s="796"/>
      <c r="K239" s="796"/>
      <c r="L239" s="796"/>
      <c r="M239" s="796"/>
      <c r="N239" s="796"/>
      <c r="O239" s="796"/>
      <c r="P239" s="796"/>
      <c r="Q239" s="796"/>
      <c r="R239" s="796"/>
      <c r="S239" s="796"/>
      <c r="T239" s="796"/>
      <c r="U239" s="796"/>
      <c r="V239" s="796"/>
      <c r="W239" s="796"/>
      <c r="X239" s="796"/>
      <c r="Y239" s="796" t="s">
        <v>1910</v>
      </c>
      <c r="Z239" s="796" t="s">
        <v>2223</v>
      </c>
      <c r="AA239" s="796" t="s">
        <v>2223</v>
      </c>
      <c r="AB239" s="796" t="s">
        <v>1911</v>
      </c>
      <c r="AC239" s="796" t="s">
        <v>2224</v>
      </c>
      <c r="AD239" s="796" t="s">
        <v>2224</v>
      </c>
      <c r="AE239" s="796"/>
      <c r="AF239" s="796"/>
      <c r="AG239" s="796"/>
      <c r="AH239" s="796"/>
      <c r="AI239" s="796"/>
      <c r="AJ239" s="796"/>
      <c r="AK239" s="796"/>
      <c r="AL239" s="796"/>
      <c r="AM239" s="796"/>
      <c r="AN239" s="796"/>
      <c r="AO239" s="796"/>
      <c r="AP239" s="796"/>
      <c r="AQ239" s="796"/>
      <c r="AR239" s="796"/>
      <c r="AS239" s="796"/>
      <c r="AT239" s="796"/>
      <c r="AU239" s="796"/>
    </row>
    <row r="240" spans="1:47" ht="13.5">
      <c r="A240" s="796" t="s">
        <v>1912</v>
      </c>
      <c r="B240" s="796" t="s">
        <v>2223</v>
      </c>
      <c r="C240" s="796" t="s">
        <v>2222</v>
      </c>
      <c r="D240" s="796" t="s">
        <v>1913</v>
      </c>
      <c r="E240" s="796" t="s">
        <v>2221</v>
      </c>
      <c r="F240" s="796" t="s">
        <v>2222</v>
      </c>
      <c r="G240" s="796"/>
      <c r="H240" s="796"/>
      <c r="I240" s="796"/>
      <c r="J240" s="796"/>
      <c r="K240" s="796"/>
      <c r="L240" s="796"/>
      <c r="M240" s="796"/>
      <c r="N240" s="796"/>
      <c r="O240" s="796"/>
      <c r="P240" s="796"/>
      <c r="Q240" s="796"/>
      <c r="R240" s="796"/>
      <c r="S240" s="796"/>
      <c r="T240" s="796"/>
      <c r="U240" s="796"/>
      <c r="V240" s="796"/>
      <c r="W240" s="796"/>
      <c r="X240" s="796"/>
      <c r="Y240" s="796" t="s">
        <v>1914</v>
      </c>
      <c r="Z240" s="796" t="s">
        <v>2224</v>
      </c>
      <c r="AA240" s="796" t="s">
        <v>2224</v>
      </c>
      <c r="AB240" s="796" t="s">
        <v>1915</v>
      </c>
      <c r="AC240" s="796" t="s">
        <v>2222</v>
      </c>
      <c r="AD240" s="796" t="s">
        <v>2223</v>
      </c>
      <c r="AE240" s="796"/>
      <c r="AF240" s="796"/>
      <c r="AG240" s="796"/>
      <c r="AH240" s="796"/>
      <c r="AI240" s="796"/>
      <c r="AJ240" s="796"/>
      <c r="AK240" s="796"/>
      <c r="AL240" s="796"/>
      <c r="AM240" s="796"/>
      <c r="AN240" s="796"/>
      <c r="AO240" s="796"/>
      <c r="AP240" s="796"/>
      <c r="AQ240" s="796"/>
      <c r="AR240" s="796"/>
      <c r="AS240" s="796"/>
      <c r="AT240" s="796"/>
      <c r="AU240" s="796"/>
    </row>
    <row r="241" spans="1:47" ht="13.5">
      <c r="A241" s="796" t="s">
        <v>1916</v>
      </c>
      <c r="B241" s="796" t="s">
        <v>2224</v>
      </c>
      <c r="C241" s="796" t="s">
        <v>2225</v>
      </c>
      <c r="D241" s="796" t="s">
        <v>1917</v>
      </c>
      <c r="E241" s="796" t="s">
        <v>2224</v>
      </c>
      <c r="F241" s="796" t="s">
        <v>2224</v>
      </c>
      <c r="G241" s="796"/>
      <c r="H241" s="796"/>
      <c r="I241" s="796"/>
      <c r="J241" s="796"/>
      <c r="K241" s="796"/>
      <c r="L241" s="796"/>
      <c r="M241" s="796"/>
      <c r="N241" s="796"/>
      <c r="O241" s="796"/>
      <c r="P241" s="796"/>
      <c r="Q241" s="796"/>
      <c r="R241" s="796"/>
      <c r="S241" s="796"/>
      <c r="T241" s="796"/>
      <c r="U241" s="796"/>
      <c r="V241" s="796"/>
      <c r="W241" s="796"/>
      <c r="X241" s="796"/>
      <c r="Y241" s="796" t="s">
        <v>1918</v>
      </c>
      <c r="Z241" s="796" t="s">
        <v>2222</v>
      </c>
      <c r="AA241" s="796" t="s">
        <v>2223</v>
      </c>
      <c r="AB241" s="796" t="s">
        <v>1919</v>
      </c>
      <c r="AC241" s="796" t="s">
        <v>2222</v>
      </c>
      <c r="AD241" s="796" t="s">
        <v>2222</v>
      </c>
      <c r="AE241" s="796"/>
      <c r="AF241" s="796"/>
      <c r="AG241" s="796"/>
      <c r="AH241" s="796"/>
      <c r="AI241" s="796"/>
      <c r="AJ241" s="796"/>
      <c r="AK241" s="796"/>
      <c r="AL241" s="796"/>
      <c r="AM241" s="796"/>
      <c r="AN241" s="796"/>
      <c r="AO241" s="796"/>
      <c r="AP241" s="796"/>
      <c r="AQ241" s="796"/>
      <c r="AR241" s="796"/>
      <c r="AS241" s="796"/>
      <c r="AT241" s="796"/>
      <c r="AU241" s="796"/>
    </row>
    <row r="242" spans="1:47" ht="13.5">
      <c r="A242" s="796" t="s">
        <v>1920</v>
      </c>
      <c r="B242" s="796" t="s">
        <v>2225</v>
      </c>
      <c r="C242" s="796" t="s">
        <v>2224</v>
      </c>
      <c r="D242" s="796" t="s">
        <v>1921</v>
      </c>
      <c r="E242" s="796" t="s">
        <v>2222</v>
      </c>
      <c r="F242" s="796" t="s">
        <v>2222</v>
      </c>
      <c r="G242" s="796"/>
      <c r="H242" s="796"/>
      <c r="I242" s="796"/>
      <c r="J242" s="796"/>
      <c r="K242" s="796"/>
      <c r="L242" s="796"/>
      <c r="M242" s="796"/>
      <c r="N242" s="796"/>
      <c r="O242" s="796"/>
      <c r="P242" s="796"/>
      <c r="Q242" s="796"/>
      <c r="R242" s="796"/>
      <c r="S242" s="796"/>
      <c r="T242" s="796"/>
      <c r="U242" s="796"/>
      <c r="V242" s="796"/>
      <c r="W242" s="796"/>
      <c r="X242" s="796"/>
      <c r="Y242" s="796" t="s">
        <v>1922</v>
      </c>
      <c r="Z242" s="796" t="s">
        <v>2221</v>
      </c>
      <c r="AA242" s="796"/>
      <c r="AB242" s="796" t="s">
        <v>1923</v>
      </c>
      <c r="AC242" s="796" t="s">
        <v>2223</v>
      </c>
      <c r="AD242" s="796" t="s">
        <v>2222</v>
      </c>
      <c r="AE242" s="796"/>
      <c r="AF242" s="796"/>
      <c r="AG242" s="796"/>
      <c r="AH242" s="796"/>
      <c r="AI242" s="796"/>
      <c r="AJ242" s="796"/>
      <c r="AK242" s="796"/>
      <c r="AL242" s="796"/>
      <c r="AM242" s="796"/>
      <c r="AN242" s="796"/>
      <c r="AO242" s="796"/>
      <c r="AP242" s="796"/>
      <c r="AQ242" s="796"/>
      <c r="AR242" s="796"/>
      <c r="AS242" s="796"/>
      <c r="AT242" s="796"/>
      <c r="AU242" s="796"/>
    </row>
    <row r="243" spans="1:47" ht="13.5">
      <c r="A243" s="796" t="s">
        <v>1924</v>
      </c>
      <c r="B243" s="796" t="s">
        <v>2222</v>
      </c>
      <c r="C243" s="796" t="s">
        <v>2222</v>
      </c>
      <c r="D243" s="796" t="s">
        <v>1925</v>
      </c>
      <c r="E243" s="796" t="s">
        <v>2224</v>
      </c>
      <c r="F243" s="796" t="s">
        <v>2225</v>
      </c>
      <c r="G243" s="796"/>
      <c r="H243" s="796"/>
      <c r="I243" s="796"/>
      <c r="J243" s="796"/>
      <c r="K243" s="796"/>
      <c r="L243" s="796"/>
      <c r="M243" s="796"/>
      <c r="N243" s="796"/>
      <c r="O243" s="796"/>
      <c r="P243" s="796"/>
      <c r="Q243" s="796"/>
      <c r="R243" s="796"/>
      <c r="S243" s="796"/>
      <c r="T243" s="796"/>
      <c r="U243" s="796"/>
      <c r="V243" s="796"/>
      <c r="W243" s="796"/>
      <c r="X243" s="796"/>
      <c r="Y243" s="796" t="s">
        <v>1926</v>
      </c>
      <c r="Z243" s="796" t="s">
        <v>2221</v>
      </c>
      <c r="AA243" s="796" t="s">
        <v>2221</v>
      </c>
      <c r="AB243" s="796" t="s">
        <v>1927</v>
      </c>
      <c r="AC243" s="796" t="s">
        <v>2222</v>
      </c>
      <c r="AD243" s="796" t="s">
        <v>2223</v>
      </c>
      <c r="AE243" s="796"/>
      <c r="AF243" s="796"/>
      <c r="AG243" s="796"/>
      <c r="AH243" s="796"/>
      <c r="AI243" s="796"/>
      <c r="AJ243" s="796"/>
      <c r="AK243" s="796"/>
      <c r="AL243" s="796"/>
      <c r="AM243" s="796"/>
      <c r="AN243" s="796"/>
      <c r="AO243" s="796"/>
      <c r="AP243" s="796"/>
      <c r="AQ243" s="796"/>
      <c r="AR243" s="796"/>
      <c r="AS243" s="796"/>
      <c r="AT243" s="796"/>
      <c r="AU243" s="796"/>
    </row>
    <row r="244" spans="1:47" ht="13.5">
      <c r="A244" s="796" t="s">
        <v>1928</v>
      </c>
      <c r="B244" s="796" t="s">
        <v>2225</v>
      </c>
      <c r="C244" s="796" t="s">
        <v>2225</v>
      </c>
      <c r="D244" s="796" t="s">
        <v>1929</v>
      </c>
      <c r="E244" s="796" t="s">
        <v>2224</v>
      </c>
      <c r="F244" s="796" t="s">
        <v>2224</v>
      </c>
      <c r="G244" s="796"/>
      <c r="H244" s="796"/>
      <c r="I244" s="796"/>
      <c r="J244" s="796"/>
      <c r="K244" s="796"/>
      <c r="L244" s="796"/>
      <c r="M244" s="796"/>
      <c r="N244" s="796"/>
      <c r="O244" s="796"/>
      <c r="P244" s="796"/>
      <c r="Q244" s="796"/>
      <c r="R244" s="796"/>
      <c r="S244" s="796"/>
      <c r="T244" s="796"/>
      <c r="U244" s="796"/>
      <c r="V244" s="796"/>
      <c r="W244" s="796"/>
      <c r="X244" s="796"/>
      <c r="Y244" s="796" t="s">
        <v>1930</v>
      </c>
      <c r="Z244" s="796" t="s">
        <v>2222</v>
      </c>
      <c r="AA244" s="796" t="s">
        <v>2222</v>
      </c>
      <c r="AB244" s="796" t="s">
        <v>1931</v>
      </c>
      <c r="AC244" s="796" t="s">
        <v>2222</v>
      </c>
      <c r="AD244" s="796" t="s">
        <v>2222</v>
      </c>
      <c r="AE244" s="796"/>
      <c r="AF244" s="796"/>
      <c r="AG244" s="796"/>
      <c r="AH244" s="796"/>
      <c r="AI244" s="796"/>
      <c r="AJ244" s="796"/>
      <c r="AK244" s="796"/>
      <c r="AL244" s="796"/>
      <c r="AM244" s="796"/>
      <c r="AN244" s="796"/>
      <c r="AO244" s="796"/>
      <c r="AP244" s="796"/>
      <c r="AQ244" s="796"/>
      <c r="AR244" s="796"/>
      <c r="AS244" s="796"/>
      <c r="AT244" s="796"/>
      <c r="AU244" s="796"/>
    </row>
    <row r="245" spans="1:47" ht="13.5">
      <c r="A245" s="796" t="s">
        <v>1932</v>
      </c>
      <c r="B245" s="796" t="s">
        <v>2224</v>
      </c>
      <c r="C245" s="796" t="s">
        <v>2224</v>
      </c>
      <c r="D245" s="796" t="s">
        <v>1933</v>
      </c>
      <c r="E245" s="796" t="s">
        <v>2221</v>
      </c>
      <c r="F245" s="796" t="s">
        <v>2221</v>
      </c>
      <c r="G245" s="796"/>
      <c r="H245" s="796"/>
      <c r="I245" s="796"/>
      <c r="J245" s="796"/>
      <c r="K245" s="796"/>
      <c r="L245" s="796"/>
      <c r="M245" s="796"/>
      <c r="N245" s="796"/>
      <c r="O245" s="796"/>
      <c r="P245" s="796"/>
      <c r="Q245" s="796"/>
      <c r="R245" s="796"/>
      <c r="S245" s="796"/>
      <c r="T245" s="796"/>
      <c r="U245" s="796"/>
      <c r="V245" s="796"/>
      <c r="W245" s="796"/>
      <c r="X245" s="796"/>
      <c r="Y245" s="796"/>
      <c r="Z245" s="796"/>
      <c r="AA245" s="796"/>
      <c r="AB245" s="796" t="s">
        <v>1934</v>
      </c>
      <c r="AC245" s="796" t="s">
        <v>2223</v>
      </c>
      <c r="AD245" s="796" t="s">
        <v>2223</v>
      </c>
      <c r="AE245" s="796"/>
      <c r="AF245" s="796"/>
      <c r="AG245" s="796"/>
      <c r="AH245" s="796"/>
      <c r="AI245" s="796"/>
      <c r="AJ245" s="796"/>
      <c r="AK245" s="796"/>
      <c r="AL245" s="796"/>
      <c r="AM245" s="796"/>
      <c r="AN245" s="796"/>
      <c r="AO245" s="796"/>
      <c r="AP245" s="796"/>
      <c r="AQ245" s="796"/>
      <c r="AR245" s="796"/>
      <c r="AS245" s="796"/>
      <c r="AT245" s="796"/>
      <c r="AU245" s="796"/>
    </row>
    <row r="246" spans="1:47" ht="13.5">
      <c r="A246" s="796" t="s">
        <v>1935</v>
      </c>
      <c r="B246" s="796" t="s">
        <v>2223</v>
      </c>
      <c r="C246" s="796" t="s">
        <v>2223</v>
      </c>
      <c r="D246" s="796" t="s">
        <v>1936</v>
      </c>
      <c r="E246" s="796" t="s">
        <v>2427</v>
      </c>
      <c r="F246" s="796" t="s">
        <v>2226</v>
      </c>
      <c r="G246" s="796"/>
      <c r="H246" s="796"/>
      <c r="I246" s="796"/>
      <c r="J246" s="796"/>
      <c r="K246" s="796"/>
      <c r="L246" s="796"/>
      <c r="M246" s="796"/>
      <c r="N246" s="796"/>
      <c r="O246" s="796"/>
      <c r="P246" s="796"/>
      <c r="Q246" s="796"/>
      <c r="R246" s="796"/>
      <c r="S246" s="796"/>
      <c r="T246" s="796"/>
      <c r="U246" s="796"/>
      <c r="V246" s="796"/>
      <c r="W246" s="796"/>
      <c r="X246" s="796"/>
      <c r="Y246" s="796"/>
      <c r="Z246" s="796"/>
      <c r="AA246" s="796"/>
      <c r="AB246" s="796" t="s">
        <v>1937</v>
      </c>
      <c r="AC246" s="796" t="s">
        <v>2221</v>
      </c>
      <c r="AD246" s="796" t="s">
        <v>2221</v>
      </c>
      <c r="AE246" s="796"/>
      <c r="AF246" s="796"/>
      <c r="AG246" s="796"/>
      <c r="AH246" s="796"/>
      <c r="AI246" s="796"/>
      <c r="AJ246" s="796"/>
      <c r="AK246" s="796"/>
      <c r="AL246" s="796"/>
      <c r="AM246" s="796"/>
      <c r="AN246" s="796"/>
      <c r="AO246" s="796"/>
      <c r="AP246" s="796"/>
      <c r="AQ246" s="796"/>
      <c r="AR246" s="796"/>
      <c r="AS246" s="796"/>
      <c r="AT246" s="796"/>
      <c r="AU246" s="796"/>
    </row>
    <row r="247" spans="1:47" ht="13.5">
      <c r="A247" s="796" t="s">
        <v>1938</v>
      </c>
      <c r="B247" s="796" t="s">
        <v>2222</v>
      </c>
      <c r="C247" s="796" t="s">
        <v>2222</v>
      </c>
      <c r="D247" s="796" t="s">
        <v>1939</v>
      </c>
      <c r="E247" s="796" t="s">
        <v>2222</v>
      </c>
      <c r="F247" s="796" t="s">
        <v>2222</v>
      </c>
      <c r="G247" s="796"/>
      <c r="H247" s="796"/>
      <c r="I247" s="796"/>
      <c r="J247" s="796"/>
      <c r="K247" s="796"/>
      <c r="L247" s="796"/>
      <c r="M247" s="796"/>
      <c r="N247" s="796"/>
      <c r="O247" s="796"/>
      <c r="P247" s="796"/>
      <c r="Q247" s="796"/>
      <c r="R247" s="796"/>
      <c r="S247" s="796"/>
      <c r="T247" s="796"/>
      <c r="U247" s="796"/>
      <c r="V247" s="796"/>
      <c r="W247" s="796"/>
      <c r="X247" s="796"/>
      <c r="Y247" s="796"/>
      <c r="Z247" s="796"/>
      <c r="AA247" s="796"/>
      <c r="AB247" s="796" t="s">
        <v>1940</v>
      </c>
      <c r="AC247" s="796" t="s">
        <v>2224</v>
      </c>
      <c r="AD247" s="796" t="s">
        <v>2224</v>
      </c>
      <c r="AE247" s="796"/>
      <c r="AF247" s="796"/>
      <c r="AG247" s="796"/>
      <c r="AH247" s="796"/>
      <c r="AI247" s="796"/>
      <c r="AJ247" s="796"/>
      <c r="AK247" s="796"/>
      <c r="AL247" s="796"/>
      <c r="AM247" s="796"/>
      <c r="AN247" s="796"/>
      <c r="AO247" s="796"/>
      <c r="AP247" s="796"/>
      <c r="AQ247" s="796"/>
      <c r="AR247" s="796"/>
      <c r="AS247" s="796"/>
      <c r="AT247" s="796"/>
      <c r="AU247" s="796"/>
    </row>
    <row r="248" spans="1:47" ht="13.5">
      <c r="A248" s="796" t="s">
        <v>1941</v>
      </c>
      <c r="B248" s="796" t="s">
        <v>2223</v>
      </c>
      <c r="C248" s="796" t="s">
        <v>2223</v>
      </c>
      <c r="D248" s="796" t="s">
        <v>1942</v>
      </c>
      <c r="E248" s="796" t="s">
        <v>2221</v>
      </c>
      <c r="F248" s="796" t="s">
        <v>2222</v>
      </c>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t="s">
        <v>1943</v>
      </c>
      <c r="AC248" s="796" t="s">
        <v>2221</v>
      </c>
      <c r="AD248" s="796" t="s">
        <v>2222</v>
      </c>
      <c r="AE248" s="796"/>
      <c r="AF248" s="796"/>
      <c r="AG248" s="796"/>
      <c r="AH248" s="796"/>
      <c r="AI248" s="796"/>
      <c r="AJ248" s="796"/>
      <c r="AK248" s="796"/>
      <c r="AL248" s="796"/>
      <c r="AM248" s="796"/>
      <c r="AN248" s="796"/>
      <c r="AO248" s="796"/>
      <c r="AP248" s="796"/>
      <c r="AQ248" s="796"/>
      <c r="AR248" s="796"/>
      <c r="AS248" s="796"/>
      <c r="AT248" s="796"/>
      <c r="AU248" s="796"/>
    </row>
    <row r="249" spans="1:47" ht="13.5">
      <c r="A249" s="796" t="s">
        <v>1944</v>
      </c>
      <c r="B249" s="796" t="s">
        <v>2225</v>
      </c>
      <c r="C249" s="796"/>
      <c r="D249" s="796" t="s">
        <v>1945</v>
      </c>
      <c r="E249" s="796" t="s">
        <v>2427</v>
      </c>
      <c r="F249" s="796" t="s">
        <v>2226</v>
      </c>
      <c r="G249" s="796"/>
      <c r="H249" s="796"/>
      <c r="I249" s="796"/>
      <c r="J249" s="796"/>
      <c r="K249" s="796"/>
      <c r="L249" s="796"/>
      <c r="M249" s="796"/>
      <c r="N249" s="796"/>
      <c r="O249" s="796"/>
      <c r="P249" s="796"/>
      <c r="Q249" s="796"/>
      <c r="R249" s="796"/>
      <c r="S249" s="796"/>
      <c r="T249" s="796"/>
      <c r="U249" s="796"/>
      <c r="V249" s="796"/>
      <c r="W249" s="796"/>
      <c r="X249" s="796"/>
      <c r="Y249" s="796"/>
      <c r="Z249" s="796"/>
      <c r="AA249" s="796"/>
      <c r="AB249" s="796" t="s">
        <v>1946</v>
      </c>
      <c r="AC249" s="796" t="s">
        <v>2223</v>
      </c>
      <c r="AD249" s="796" t="s">
        <v>2223</v>
      </c>
      <c r="AE249" s="796"/>
      <c r="AF249" s="796"/>
      <c r="AG249" s="796"/>
      <c r="AH249" s="796"/>
      <c r="AI249" s="796"/>
      <c r="AJ249" s="796"/>
      <c r="AK249" s="796"/>
      <c r="AL249" s="796"/>
      <c r="AM249" s="796"/>
      <c r="AN249" s="796"/>
      <c r="AO249" s="796"/>
      <c r="AP249" s="796"/>
      <c r="AQ249" s="796"/>
      <c r="AR249" s="796"/>
      <c r="AS249" s="796"/>
      <c r="AT249" s="796"/>
      <c r="AU249" s="796"/>
    </row>
    <row r="250" spans="1:47" ht="13.5">
      <c r="A250" s="796" t="s">
        <v>1947</v>
      </c>
      <c r="B250" s="796" t="s">
        <v>2223</v>
      </c>
      <c r="C250" s="796" t="s">
        <v>2224</v>
      </c>
      <c r="D250" s="796" t="s">
        <v>1948</v>
      </c>
      <c r="E250" s="796" t="s">
        <v>2224</v>
      </c>
      <c r="F250" s="796" t="s">
        <v>2225</v>
      </c>
      <c r="G250" s="796"/>
      <c r="H250" s="796"/>
      <c r="I250" s="796"/>
      <c r="J250" s="796"/>
      <c r="K250" s="796"/>
      <c r="L250" s="796"/>
      <c r="M250" s="796"/>
      <c r="N250" s="796"/>
      <c r="O250" s="796"/>
      <c r="P250" s="796"/>
      <c r="Q250" s="796"/>
      <c r="R250" s="796"/>
      <c r="S250" s="796"/>
      <c r="T250" s="796"/>
      <c r="U250" s="796"/>
      <c r="V250" s="796"/>
      <c r="W250" s="796"/>
      <c r="X250" s="796"/>
      <c r="Y250" s="796"/>
      <c r="Z250" s="796"/>
      <c r="AA250" s="796"/>
      <c r="AB250" s="796" t="s">
        <v>1949</v>
      </c>
      <c r="AC250" s="796" t="s">
        <v>2222</v>
      </c>
      <c r="AD250" s="796" t="s">
        <v>2222</v>
      </c>
      <c r="AE250" s="796"/>
      <c r="AF250" s="796"/>
      <c r="AG250" s="796"/>
      <c r="AH250" s="796"/>
      <c r="AI250" s="796"/>
      <c r="AJ250" s="796"/>
      <c r="AK250" s="796"/>
      <c r="AL250" s="796"/>
      <c r="AM250" s="796"/>
      <c r="AN250" s="796"/>
      <c r="AO250" s="796"/>
      <c r="AP250" s="796"/>
      <c r="AQ250" s="796"/>
      <c r="AR250" s="796"/>
      <c r="AS250" s="796"/>
      <c r="AT250" s="796"/>
      <c r="AU250" s="796"/>
    </row>
    <row r="251" spans="1:47" ht="13.5">
      <c r="A251" s="796" t="s">
        <v>1950</v>
      </c>
      <c r="B251" s="796" t="s">
        <v>2223</v>
      </c>
      <c r="C251" s="796" t="s">
        <v>2223</v>
      </c>
      <c r="D251" s="796" t="s">
        <v>1951</v>
      </c>
      <c r="E251" s="796" t="s">
        <v>2427</v>
      </c>
      <c r="F251" s="796" t="s">
        <v>2226</v>
      </c>
      <c r="G251" s="796"/>
      <c r="H251" s="796"/>
      <c r="I251" s="796"/>
      <c r="J251" s="796"/>
      <c r="K251" s="796"/>
      <c r="L251" s="796"/>
      <c r="M251" s="796"/>
      <c r="N251" s="796"/>
      <c r="O251" s="796"/>
      <c r="P251" s="796"/>
      <c r="Q251" s="796"/>
      <c r="R251" s="796"/>
      <c r="S251" s="796"/>
      <c r="T251" s="796"/>
      <c r="U251" s="796"/>
      <c r="V251" s="796"/>
      <c r="W251" s="796"/>
      <c r="X251" s="796"/>
      <c r="Y251" s="796"/>
      <c r="Z251" s="796"/>
      <c r="AA251" s="796"/>
      <c r="AB251" s="796" t="s">
        <v>1952</v>
      </c>
      <c r="AC251" s="796" t="s">
        <v>2222</v>
      </c>
      <c r="AD251" s="796" t="s">
        <v>2223</v>
      </c>
      <c r="AE251" s="796"/>
      <c r="AF251" s="796"/>
      <c r="AG251" s="796"/>
      <c r="AH251" s="796"/>
      <c r="AI251" s="796"/>
      <c r="AJ251" s="796"/>
      <c r="AK251" s="796"/>
      <c r="AL251" s="796"/>
      <c r="AM251" s="796"/>
      <c r="AN251" s="796"/>
      <c r="AO251" s="796"/>
      <c r="AP251" s="796"/>
      <c r="AQ251" s="796"/>
      <c r="AR251" s="796"/>
      <c r="AS251" s="796"/>
      <c r="AT251" s="796"/>
      <c r="AU251" s="796"/>
    </row>
    <row r="252" spans="1:47" ht="13.5">
      <c r="A252" s="796" t="s">
        <v>1953</v>
      </c>
      <c r="B252" s="796" t="s">
        <v>2222</v>
      </c>
      <c r="C252" s="796" t="s">
        <v>2222</v>
      </c>
      <c r="D252" s="796" t="s">
        <v>1954</v>
      </c>
      <c r="E252" s="796" t="s">
        <v>2224</v>
      </c>
      <c r="F252" s="796" t="s">
        <v>2224</v>
      </c>
      <c r="G252" s="796"/>
      <c r="H252" s="796"/>
      <c r="I252" s="796"/>
      <c r="J252" s="796"/>
      <c r="K252" s="796"/>
      <c r="L252" s="796"/>
      <c r="M252" s="796"/>
      <c r="N252" s="796"/>
      <c r="O252" s="796"/>
      <c r="P252" s="796"/>
      <c r="Q252" s="796"/>
      <c r="R252" s="796"/>
      <c r="S252" s="796"/>
      <c r="T252" s="796"/>
      <c r="U252" s="796"/>
      <c r="V252" s="796"/>
      <c r="W252" s="796"/>
      <c r="X252" s="796"/>
      <c r="Y252" s="796"/>
      <c r="Z252" s="796"/>
      <c r="AA252" s="796"/>
      <c r="AB252" s="796" t="s">
        <v>1955</v>
      </c>
      <c r="AC252" s="796" t="s">
        <v>2223</v>
      </c>
      <c r="AD252" s="796" t="s">
        <v>2222</v>
      </c>
      <c r="AE252" s="796"/>
      <c r="AF252" s="796"/>
      <c r="AG252" s="796"/>
      <c r="AH252" s="796"/>
      <c r="AI252" s="796"/>
      <c r="AJ252" s="796"/>
      <c r="AK252" s="796"/>
      <c r="AL252" s="796"/>
      <c r="AM252" s="796"/>
      <c r="AN252" s="796"/>
      <c r="AO252" s="796"/>
      <c r="AP252" s="796"/>
      <c r="AQ252" s="796"/>
      <c r="AR252" s="796"/>
      <c r="AS252" s="796"/>
      <c r="AT252" s="796"/>
      <c r="AU252" s="796"/>
    </row>
    <row r="253" spans="1:47" ht="13.5">
      <c r="A253" s="796" t="s">
        <v>1956</v>
      </c>
      <c r="B253" s="796" t="s">
        <v>2223</v>
      </c>
      <c r="C253" s="796" t="s">
        <v>2223</v>
      </c>
      <c r="D253" s="796" t="s">
        <v>1957</v>
      </c>
      <c r="E253" s="796" t="s">
        <v>2221</v>
      </c>
      <c r="F253" s="796" t="s">
        <v>2221</v>
      </c>
      <c r="G253" s="796"/>
      <c r="H253" s="796"/>
      <c r="I253" s="796"/>
      <c r="J253" s="796"/>
      <c r="K253" s="796"/>
      <c r="L253" s="796"/>
      <c r="M253" s="796"/>
      <c r="N253" s="796"/>
      <c r="O253" s="796"/>
      <c r="P253" s="796"/>
      <c r="Q253" s="796"/>
      <c r="R253" s="796"/>
      <c r="S253" s="796"/>
      <c r="T253" s="796"/>
      <c r="U253" s="796"/>
      <c r="V253" s="796"/>
      <c r="W253" s="796"/>
      <c r="X253" s="796"/>
      <c r="Y253" s="796"/>
      <c r="Z253" s="796"/>
      <c r="AA253" s="796"/>
      <c r="AB253" s="796" t="s">
        <v>1958</v>
      </c>
      <c r="AC253" s="796" t="s">
        <v>2221</v>
      </c>
      <c r="AD253" s="796" t="s">
        <v>2221</v>
      </c>
      <c r="AE253" s="796"/>
      <c r="AF253" s="796"/>
      <c r="AG253" s="796"/>
      <c r="AH253" s="796"/>
      <c r="AI253" s="796"/>
      <c r="AJ253" s="796"/>
      <c r="AK253" s="796"/>
      <c r="AL253" s="796"/>
      <c r="AM253" s="796"/>
      <c r="AN253" s="796"/>
      <c r="AO253" s="796"/>
      <c r="AP253" s="796"/>
      <c r="AQ253" s="796"/>
      <c r="AR253" s="796"/>
      <c r="AS253" s="796"/>
      <c r="AT253" s="796"/>
      <c r="AU253" s="796"/>
    </row>
    <row r="254" spans="1:47" ht="13.5">
      <c r="A254" s="796" t="s">
        <v>1959</v>
      </c>
      <c r="B254" s="796" t="s">
        <v>2226</v>
      </c>
      <c r="C254" s="796" t="s">
        <v>2226</v>
      </c>
      <c r="D254" s="796" t="s">
        <v>1960</v>
      </c>
      <c r="E254" s="796" t="s">
        <v>2225</v>
      </c>
      <c r="F254" s="796" t="s">
        <v>2225</v>
      </c>
      <c r="G254" s="796"/>
      <c r="H254" s="796"/>
      <c r="I254" s="796"/>
      <c r="J254" s="796"/>
      <c r="K254" s="796"/>
      <c r="L254" s="796"/>
      <c r="M254" s="796"/>
      <c r="N254" s="796"/>
      <c r="O254" s="796"/>
      <c r="P254" s="796"/>
      <c r="Q254" s="796"/>
      <c r="R254" s="796"/>
      <c r="S254" s="796"/>
      <c r="T254" s="796"/>
      <c r="U254" s="796"/>
      <c r="V254" s="796"/>
      <c r="W254" s="796"/>
      <c r="X254" s="796"/>
      <c r="Y254" s="796"/>
      <c r="Z254" s="796"/>
      <c r="AA254" s="796"/>
      <c r="AB254" s="796" t="s">
        <v>1961</v>
      </c>
      <c r="AC254" s="796" t="s">
        <v>2222</v>
      </c>
      <c r="AD254" s="796" t="s">
        <v>2222</v>
      </c>
      <c r="AE254" s="796"/>
      <c r="AF254" s="796"/>
      <c r="AG254" s="796"/>
      <c r="AH254" s="796"/>
      <c r="AI254" s="796"/>
      <c r="AJ254" s="796"/>
      <c r="AK254" s="796"/>
      <c r="AL254" s="796"/>
      <c r="AM254" s="796"/>
      <c r="AN254" s="796"/>
      <c r="AO254" s="796"/>
      <c r="AP254" s="796"/>
      <c r="AQ254" s="796"/>
      <c r="AR254" s="796"/>
      <c r="AS254" s="796"/>
      <c r="AT254" s="796"/>
      <c r="AU254" s="796"/>
    </row>
    <row r="255" spans="1:47" ht="13.5">
      <c r="A255" s="796" t="s">
        <v>1962</v>
      </c>
      <c r="B255" s="796" t="s">
        <v>2221</v>
      </c>
      <c r="C255" s="796" t="s">
        <v>2222</v>
      </c>
      <c r="D255" s="796" t="s">
        <v>1963</v>
      </c>
      <c r="E255" s="796" t="s">
        <v>2222</v>
      </c>
      <c r="F255" s="796" t="s">
        <v>2222</v>
      </c>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t="s">
        <v>1964</v>
      </c>
      <c r="AC255" s="796" t="s">
        <v>2224</v>
      </c>
      <c r="AD255" s="796" t="s">
        <v>2224</v>
      </c>
      <c r="AE255" s="796"/>
      <c r="AF255" s="796"/>
      <c r="AG255" s="796"/>
      <c r="AH255" s="796"/>
      <c r="AI255" s="796"/>
      <c r="AJ255" s="796"/>
      <c r="AK255" s="796"/>
      <c r="AL255" s="796"/>
      <c r="AM255" s="796"/>
      <c r="AN255" s="796"/>
      <c r="AO255" s="796"/>
      <c r="AP255" s="796"/>
      <c r="AQ255" s="796"/>
      <c r="AR255" s="796"/>
      <c r="AS255" s="796"/>
      <c r="AT255" s="796"/>
      <c r="AU255" s="796"/>
    </row>
    <row r="256" spans="1:47" ht="13.5">
      <c r="A256" s="796" t="s">
        <v>1965</v>
      </c>
      <c r="B256" s="796" t="s">
        <v>2223</v>
      </c>
      <c r="C256" s="796"/>
      <c r="D256" s="796" t="s">
        <v>1966</v>
      </c>
      <c r="E256" s="796" t="s">
        <v>2221</v>
      </c>
      <c r="F256" s="796" t="s">
        <v>2221</v>
      </c>
      <c r="G256" s="796"/>
      <c r="H256" s="796"/>
      <c r="I256" s="796"/>
      <c r="J256" s="796"/>
      <c r="K256" s="796"/>
      <c r="L256" s="796"/>
      <c r="M256" s="796"/>
      <c r="N256" s="796"/>
      <c r="O256" s="796"/>
      <c r="P256" s="796"/>
      <c r="Q256" s="796"/>
      <c r="R256" s="796"/>
      <c r="S256" s="796"/>
      <c r="T256" s="796"/>
      <c r="U256" s="796"/>
      <c r="V256" s="796"/>
      <c r="W256" s="796"/>
      <c r="X256" s="796"/>
      <c r="Y256" s="796"/>
      <c r="Z256" s="796"/>
      <c r="AA256" s="796"/>
      <c r="AB256" s="796" t="s">
        <v>1967</v>
      </c>
      <c r="AC256" s="796" t="s">
        <v>2222</v>
      </c>
      <c r="AD256" s="796" t="s">
        <v>2222</v>
      </c>
      <c r="AE256" s="796"/>
      <c r="AF256" s="796"/>
      <c r="AG256" s="796"/>
      <c r="AH256" s="796"/>
      <c r="AI256" s="796"/>
      <c r="AJ256" s="796"/>
      <c r="AK256" s="796"/>
      <c r="AL256" s="796"/>
      <c r="AM256" s="796"/>
      <c r="AN256" s="796"/>
      <c r="AO256" s="796"/>
      <c r="AP256" s="796"/>
      <c r="AQ256" s="796"/>
      <c r="AR256" s="796"/>
      <c r="AS256" s="796"/>
      <c r="AT256" s="796"/>
      <c r="AU256" s="796"/>
    </row>
    <row r="257" spans="1:47" ht="13.5">
      <c r="A257" s="796" t="s">
        <v>1968</v>
      </c>
      <c r="B257" s="796" t="s">
        <v>2225</v>
      </c>
      <c r="C257" s="796" t="s">
        <v>2225</v>
      </c>
      <c r="D257" s="796" t="s">
        <v>1969</v>
      </c>
      <c r="E257" s="796" t="s">
        <v>2221</v>
      </c>
      <c r="F257" s="796" t="s">
        <v>2221</v>
      </c>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t="s">
        <v>1970</v>
      </c>
      <c r="AC257" s="796" t="s">
        <v>2221</v>
      </c>
      <c r="AD257" s="796" t="s">
        <v>2221</v>
      </c>
      <c r="AE257" s="796"/>
      <c r="AF257" s="796"/>
      <c r="AG257" s="796"/>
      <c r="AH257" s="796"/>
      <c r="AI257" s="796"/>
      <c r="AJ257" s="796"/>
      <c r="AK257" s="796"/>
      <c r="AL257" s="796"/>
      <c r="AM257" s="796"/>
      <c r="AN257" s="796"/>
      <c r="AO257" s="796"/>
      <c r="AP257" s="796"/>
      <c r="AQ257" s="796"/>
      <c r="AR257" s="796"/>
      <c r="AS257" s="796"/>
      <c r="AT257" s="796"/>
      <c r="AU257" s="796"/>
    </row>
    <row r="258" spans="1:47" ht="13.5">
      <c r="A258" s="796" t="s">
        <v>1971</v>
      </c>
      <c r="B258" s="796" t="s">
        <v>2221</v>
      </c>
      <c r="C258" s="796" t="s">
        <v>2222</v>
      </c>
      <c r="D258" s="796" t="s">
        <v>1972</v>
      </c>
      <c r="E258" s="796" t="s">
        <v>2225</v>
      </c>
      <c r="F258" s="796" t="s">
        <v>2225</v>
      </c>
      <c r="G258" s="796"/>
      <c r="H258" s="796"/>
      <c r="I258" s="796"/>
      <c r="J258" s="796"/>
      <c r="K258" s="796"/>
      <c r="L258" s="796"/>
      <c r="M258" s="796"/>
      <c r="N258" s="796"/>
      <c r="O258" s="796"/>
      <c r="P258" s="796"/>
      <c r="Q258" s="796"/>
      <c r="R258" s="796"/>
      <c r="S258" s="796"/>
      <c r="T258" s="796"/>
      <c r="U258" s="796"/>
      <c r="V258" s="796"/>
      <c r="W258" s="796"/>
      <c r="X258" s="796"/>
      <c r="Y258" s="796"/>
      <c r="Z258" s="796"/>
      <c r="AA258" s="796"/>
      <c r="AB258" s="796" t="s">
        <v>1973</v>
      </c>
      <c r="AC258" s="796" t="s">
        <v>2222</v>
      </c>
      <c r="AD258" s="796" t="s">
        <v>2222</v>
      </c>
      <c r="AE258" s="796"/>
      <c r="AF258" s="796"/>
      <c r="AG258" s="796"/>
      <c r="AH258" s="796"/>
      <c r="AI258" s="796"/>
      <c r="AJ258" s="796"/>
      <c r="AK258" s="796"/>
      <c r="AL258" s="796"/>
      <c r="AM258" s="796"/>
      <c r="AN258" s="796"/>
      <c r="AO258" s="796"/>
      <c r="AP258" s="796"/>
      <c r="AQ258" s="796"/>
      <c r="AR258" s="796"/>
      <c r="AS258" s="796"/>
      <c r="AT258" s="796"/>
      <c r="AU258" s="796"/>
    </row>
    <row r="259" spans="1:47" ht="13.5">
      <c r="A259" s="796" t="s">
        <v>1974</v>
      </c>
      <c r="B259" s="796" t="s">
        <v>2223</v>
      </c>
      <c r="C259" s="796" t="s">
        <v>2223</v>
      </c>
      <c r="D259" s="796" t="s">
        <v>1975</v>
      </c>
      <c r="E259" s="796" t="s">
        <v>2222</v>
      </c>
      <c r="F259" s="796" t="s">
        <v>2222</v>
      </c>
      <c r="G259" s="796"/>
      <c r="H259" s="796"/>
      <c r="I259" s="796"/>
      <c r="J259" s="796"/>
      <c r="K259" s="796"/>
      <c r="L259" s="796"/>
      <c r="M259" s="796"/>
      <c r="N259" s="796"/>
      <c r="O259" s="796"/>
      <c r="P259" s="796"/>
      <c r="Q259" s="796"/>
      <c r="R259" s="796"/>
      <c r="S259" s="796"/>
      <c r="T259" s="796"/>
      <c r="U259" s="796"/>
      <c r="V259" s="796"/>
      <c r="W259" s="796"/>
      <c r="X259" s="796"/>
      <c r="Y259" s="796"/>
      <c r="Z259" s="796"/>
      <c r="AA259" s="796"/>
      <c r="AB259" s="796" t="s">
        <v>1976</v>
      </c>
      <c r="AC259" s="796" t="s">
        <v>2221</v>
      </c>
      <c r="AD259" s="796" t="s">
        <v>2221</v>
      </c>
      <c r="AE259" s="796"/>
      <c r="AF259" s="796"/>
      <c r="AG259" s="796"/>
      <c r="AH259" s="796"/>
      <c r="AI259" s="796"/>
      <c r="AJ259" s="796"/>
      <c r="AK259" s="796"/>
      <c r="AL259" s="796"/>
      <c r="AM259" s="796"/>
      <c r="AN259" s="796"/>
      <c r="AO259" s="796"/>
      <c r="AP259" s="796"/>
      <c r="AQ259" s="796"/>
      <c r="AR259" s="796"/>
      <c r="AS259" s="796"/>
      <c r="AT259" s="796"/>
      <c r="AU259" s="796"/>
    </row>
    <row r="260" spans="1:47" ht="13.5">
      <c r="A260" s="796" t="s">
        <v>1977</v>
      </c>
      <c r="B260" s="796" t="s">
        <v>2224</v>
      </c>
      <c r="C260" s="796" t="s">
        <v>2224</v>
      </c>
      <c r="D260" s="796" t="s">
        <v>1978</v>
      </c>
      <c r="E260" s="796" t="s">
        <v>2223</v>
      </c>
      <c r="F260" s="796" t="s">
        <v>2223</v>
      </c>
      <c r="G260" s="796"/>
      <c r="H260" s="796"/>
      <c r="I260" s="796"/>
      <c r="J260" s="796"/>
      <c r="K260" s="796"/>
      <c r="L260" s="796"/>
      <c r="M260" s="796"/>
      <c r="N260" s="796"/>
      <c r="O260" s="796"/>
      <c r="P260" s="796"/>
      <c r="Q260" s="796"/>
      <c r="R260" s="796"/>
      <c r="S260" s="796"/>
      <c r="T260" s="796"/>
      <c r="U260" s="796"/>
      <c r="V260" s="796"/>
      <c r="W260" s="796"/>
      <c r="X260" s="796"/>
      <c r="Y260" s="796"/>
      <c r="Z260" s="796"/>
      <c r="AA260" s="796"/>
      <c r="AB260" s="796" t="s">
        <v>1979</v>
      </c>
      <c r="AC260" s="796" t="s">
        <v>2221</v>
      </c>
      <c r="AD260" s="796" t="s">
        <v>2221</v>
      </c>
      <c r="AE260" s="796"/>
      <c r="AF260" s="796"/>
      <c r="AG260" s="796"/>
      <c r="AH260" s="796"/>
      <c r="AI260" s="796"/>
      <c r="AJ260" s="796"/>
      <c r="AK260" s="796"/>
      <c r="AL260" s="796"/>
      <c r="AM260" s="796"/>
      <c r="AN260" s="796"/>
      <c r="AO260" s="796"/>
      <c r="AP260" s="796"/>
      <c r="AQ260" s="796"/>
      <c r="AR260" s="796"/>
      <c r="AS260" s="796"/>
      <c r="AT260" s="796"/>
      <c r="AU260" s="796"/>
    </row>
    <row r="261" spans="1:47" ht="13.5">
      <c r="A261" s="796" t="s">
        <v>1980</v>
      </c>
      <c r="B261" s="796" t="s">
        <v>2222</v>
      </c>
      <c r="C261" s="796" t="s">
        <v>2222</v>
      </c>
      <c r="D261" s="796" t="s">
        <v>1981</v>
      </c>
      <c r="E261" s="796" t="s">
        <v>2221</v>
      </c>
      <c r="F261" s="796" t="s">
        <v>2222</v>
      </c>
      <c r="G261" s="796"/>
      <c r="H261" s="796"/>
      <c r="I261" s="796"/>
      <c r="J261" s="796"/>
      <c r="K261" s="796"/>
      <c r="L261" s="796"/>
      <c r="M261" s="796"/>
      <c r="N261" s="796"/>
      <c r="O261" s="796"/>
      <c r="P261" s="796"/>
      <c r="Q261" s="796"/>
      <c r="R261" s="796"/>
      <c r="S261" s="796"/>
      <c r="T261" s="796"/>
      <c r="U261" s="796"/>
      <c r="V261" s="796"/>
      <c r="W261" s="796"/>
      <c r="X261" s="796"/>
      <c r="Y261" s="796"/>
      <c r="Z261" s="796"/>
      <c r="AA261" s="796"/>
      <c r="AB261" s="796" t="s">
        <v>1982</v>
      </c>
      <c r="AC261" s="796" t="s">
        <v>2225</v>
      </c>
      <c r="AD261" s="796" t="s">
        <v>2225</v>
      </c>
      <c r="AE261" s="796"/>
      <c r="AF261" s="796"/>
      <c r="AG261" s="796"/>
      <c r="AH261" s="796"/>
      <c r="AI261" s="796"/>
      <c r="AJ261" s="796"/>
      <c r="AK261" s="796"/>
      <c r="AL261" s="796"/>
      <c r="AM261" s="796"/>
      <c r="AN261" s="796"/>
      <c r="AO261" s="796"/>
      <c r="AP261" s="796"/>
      <c r="AQ261" s="796"/>
      <c r="AR261" s="796"/>
      <c r="AS261" s="796"/>
      <c r="AT261" s="796"/>
      <c r="AU261" s="796"/>
    </row>
    <row r="262" spans="1:47" ht="13.5">
      <c r="A262" s="796" t="s">
        <v>1983</v>
      </c>
      <c r="B262" s="796" t="s">
        <v>2223</v>
      </c>
      <c r="C262" s="796" t="s">
        <v>2223</v>
      </c>
      <c r="D262" s="796" t="s">
        <v>1984</v>
      </c>
      <c r="E262" s="796" t="s">
        <v>2224</v>
      </c>
      <c r="F262" s="796" t="s">
        <v>2223</v>
      </c>
      <c r="G262" s="796"/>
      <c r="H262" s="796"/>
      <c r="I262" s="796"/>
      <c r="J262" s="796"/>
      <c r="K262" s="796"/>
      <c r="L262" s="796"/>
      <c r="M262" s="796"/>
      <c r="N262" s="796"/>
      <c r="O262" s="796"/>
      <c r="P262" s="796"/>
      <c r="Q262" s="796"/>
      <c r="R262" s="796"/>
      <c r="S262" s="796"/>
      <c r="T262" s="796"/>
      <c r="U262" s="796"/>
      <c r="V262" s="796"/>
      <c r="W262" s="796"/>
      <c r="X262" s="796"/>
      <c r="Y262" s="796"/>
      <c r="Z262" s="796"/>
      <c r="AA262" s="796"/>
      <c r="AB262" s="796" t="s">
        <v>1985</v>
      </c>
      <c r="AC262" s="796" t="s">
        <v>2223</v>
      </c>
      <c r="AD262" s="796" t="s">
        <v>2223</v>
      </c>
      <c r="AE262" s="796"/>
      <c r="AF262" s="796"/>
      <c r="AG262" s="796"/>
      <c r="AH262" s="796"/>
      <c r="AI262" s="796"/>
      <c r="AJ262" s="796"/>
      <c r="AK262" s="796"/>
      <c r="AL262" s="796"/>
      <c r="AM262" s="796"/>
      <c r="AN262" s="796"/>
      <c r="AO262" s="796"/>
      <c r="AP262" s="796"/>
      <c r="AQ262" s="796"/>
      <c r="AR262" s="796"/>
      <c r="AS262" s="796"/>
      <c r="AT262" s="796"/>
      <c r="AU262" s="796"/>
    </row>
    <row r="263" spans="1:47" ht="13.5">
      <c r="A263" s="796" t="s">
        <v>1986</v>
      </c>
      <c r="B263" s="796" t="s">
        <v>2427</v>
      </c>
      <c r="C263" s="796" t="s">
        <v>2226</v>
      </c>
      <c r="D263" s="796" t="s">
        <v>1987</v>
      </c>
      <c r="E263" s="796" t="s">
        <v>2222</v>
      </c>
      <c r="F263" s="796" t="s">
        <v>2221</v>
      </c>
      <c r="G263" s="796"/>
      <c r="H263" s="796"/>
      <c r="I263" s="796"/>
      <c r="J263" s="796"/>
      <c r="K263" s="796"/>
      <c r="L263" s="796"/>
      <c r="M263" s="796"/>
      <c r="N263" s="796"/>
      <c r="O263" s="796"/>
      <c r="P263" s="796"/>
      <c r="Q263" s="796"/>
      <c r="R263" s="796"/>
      <c r="S263" s="796"/>
      <c r="T263" s="796"/>
      <c r="U263" s="796"/>
      <c r="V263" s="796"/>
      <c r="W263" s="796"/>
      <c r="X263" s="796"/>
      <c r="Y263" s="796"/>
      <c r="Z263" s="796"/>
      <c r="AA263" s="796"/>
      <c r="AB263" s="796" t="s">
        <v>1988</v>
      </c>
      <c r="AC263" s="796" t="s">
        <v>2222</v>
      </c>
      <c r="AD263" s="796" t="s">
        <v>2222</v>
      </c>
      <c r="AE263" s="796"/>
      <c r="AF263" s="796"/>
      <c r="AG263" s="796"/>
      <c r="AH263" s="796"/>
      <c r="AI263" s="796"/>
      <c r="AJ263" s="796"/>
      <c r="AK263" s="796"/>
      <c r="AL263" s="796"/>
      <c r="AM263" s="796"/>
      <c r="AN263" s="796"/>
      <c r="AO263" s="796"/>
      <c r="AP263" s="796"/>
      <c r="AQ263" s="796"/>
      <c r="AR263" s="796"/>
      <c r="AS263" s="796"/>
      <c r="AT263" s="796"/>
      <c r="AU263" s="796"/>
    </row>
    <row r="264" spans="1:47" ht="13.5">
      <c r="A264" s="796" t="s">
        <v>1989</v>
      </c>
      <c r="B264" s="796" t="s">
        <v>2223</v>
      </c>
      <c r="C264" s="796" t="s">
        <v>2223</v>
      </c>
      <c r="D264" s="796" t="s">
        <v>1990</v>
      </c>
      <c r="E264" s="796" t="s">
        <v>2223</v>
      </c>
      <c r="F264" s="796" t="s">
        <v>2223</v>
      </c>
      <c r="G264" s="796"/>
      <c r="H264" s="796"/>
      <c r="I264" s="796"/>
      <c r="J264" s="796"/>
      <c r="K264" s="796"/>
      <c r="L264" s="796"/>
      <c r="M264" s="796"/>
      <c r="N264" s="796"/>
      <c r="O264" s="796"/>
      <c r="P264" s="796"/>
      <c r="Q264" s="796"/>
      <c r="R264" s="796"/>
      <c r="S264" s="796"/>
      <c r="T264" s="796"/>
      <c r="U264" s="796"/>
      <c r="V264" s="796"/>
      <c r="W264" s="796"/>
      <c r="X264" s="796"/>
      <c r="Y264" s="796"/>
      <c r="Z264" s="796"/>
      <c r="AA264" s="796"/>
      <c r="AB264" s="796" t="s">
        <v>1991</v>
      </c>
      <c r="AC264" s="796" t="s">
        <v>2221</v>
      </c>
      <c r="AD264" s="796" t="s">
        <v>2221</v>
      </c>
      <c r="AE264" s="796"/>
      <c r="AF264" s="796"/>
      <c r="AG264" s="796"/>
      <c r="AH264" s="796"/>
      <c r="AI264" s="796"/>
      <c r="AJ264" s="796"/>
      <c r="AK264" s="796"/>
      <c r="AL264" s="796"/>
      <c r="AM264" s="796"/>
      <c r="AN264" s="796"/>
      <c r="AO264" s="796"/>
      <c r="AP264" s="796"/>
      <c r="AQ264" s="796"/>
      <c r="AR264" s="796"/>
      <c r="AS264" s="796"/>
      <c r="AT264" s="796"/>
      <c r="AU264" s="796"/>
    </row>
    <row r="265" spans="1:47" ht="13.5">
      <c r="A265" s="796" t="s">
        <v>1992</v>
      </c>
      <c r="B265" s="796" t="s">
        <v>2224</v>
      </c>
      <c r="C265" s="796" t="s">
        <v>2224</v>
      </c>
      <c r="D265" s="796" t="s">
        <v>1993</v>
      </c>
      <c r="E265" s="796" t="s">
        <v>2223</v>
      </c>
      <c r="F265" s="796" t="s">
        <v>2222</v>
      </c>
      <c r="G265" s="796"/>
      <c r="H265" s="796"/>
      <c r="I265" s="796"/>
      <c r="J265" s="796"/>
      <c r="K265" s="796"/>
      <c r="L265" s="796"/>
      <c r="M265" s="796"/>
      <c r="N265" s="796"/>
      <c r="O265" s="796"/>
      <c r="P265" s="796"/>
      <c r="Q265" s="796"/>
      <c r="R265" s="796"/>
      <c r="S265" s="796"/>
      <c r="T265" s="796"/>
      <c r="U265" s="796"/>
      <c r="V265" s="796"/>
      <c r="W265" s="796"/>
      <c r="X265" s="796"/>
      <c r="Y265" s="796"/>
      <c r="Z265" s="796"/>
      <c r="AA265" s="796"/>
      <c r="AB265" s="796" t="s">
        <v>1994</v>
      </c>
      <c r="AC265" s="796" t="s">
        <v>2225</v>
      </c>
      <c r="AD265" s="796" t="s">
        <v>2225</v>
      </c>
      <c r="AE265" s="796"/>
      <c r="AF265" s="796"/>
      <c r="AG265" s="796"/>
      <c r="AH265" s="796"/>
      <c r="AI265" s="796"/>
      <c r="AJ265" s="796"/>
      <c r="AK265" s="796"/>
      <c r="AL265" s="796"/>
      <c r="AM265" s="796"/>
      <c r="AN265" s="796"/>
      <c r="AO265" s="796"/>
      <c r="AP265" s="796"/>
      <c r="AQ265" s="796"/>
      <c r="AR265" s="796"/>
      <c r="AS265" s="796"/>
      <c r="AT265" s="796"/>
      <c r="AU265" s="796"/>
    </row>
    <row r="266" spans="1:47" ht="13.5">
      <c r="A266" s="796" t="s">
        <v>1995</v>
      </c>
      <c r="B266" s="796" t="s">
        <v>2223</v>
      </c>
      <c r="C266" s="796" t="s">
        <v>2222</v>
      </c>
      <c r="D266" s="796" t="s">
        <v>1996</v>
      </c>
      <c r="E266" s="796" t="s">
        <v>2221</v>
      </c>
      <c r="F266" s="796" t="s">
        <v>2221</v>
      </c>
      <c r="G266" s="796"/>
      <c r="H266" s="796"/>
      <c r="I266" s="796"/>
      <c r="J266" s="796"/>
      <c r="K266" s="796"/>
      <c r="L266" s="796"/>
      <c r="M266" s="796"/>
      <c r="N266" s="796"/>
      <c r="O266" s="796"/>
      <c r="P266" s="796"/>
      <c r="Q266" s="796"/>
      <c r="R266" s="796"/>
      <c r="S266" s="796"/>
      <c r="T266" s="796"/>
      <c r="U266" s="796"/>
      <c r="V266" s="796"/>
      <c r="W266" s="796"/>
      <c r="X266" s="796"/>
      <c r="Y266" s="796"/>
      <c r="Z266" s="796"/>
      <c r="AA266" s="796"/>
      <c r="AB266" s="796" t="s">
        <v>1997</v>
      </c>
      <c r="AC266" s="796" t="s">
        <v>2221</v>
      </c>
      <c r="AD266" s="796" t="s">
        <v>2221</v>
      </c>
      <c r="AE266" s="796"/>
      <c r="AF266" s="796"/>
      <c r="AG266" s="796"/>
      <c r="AH266" s="796"/>
      <c r="AI266" s="796"/>
      <c r="AJ266" s="796"/>
      <c r="AK266" s="796"/>
      <c r="AL266" s="796"/>
      <c r="AM266" s="796"/>
      <c r="AN266" s="796"/>
      <c r="AO266" s="796"/>
      <c r="AP266" s="796"/>
      <c r="AQ266" s="796"/>
      <c r="AR266" s="796"/>
      <c r="AS266" s="796"/>
      <c r="AT266" s="796"/>
      <c r="AU266" s="796"/>
    </row>
    <row r="267" spans="1:47" ht="13.5">
      <c r="A267" s="796" t="s">
        <v>1998</v>
      </c>
      <c r="B267" s="796" t="s">
        <v>2223</v>
      </c>
      <c r="C267" s="796" t="s">
        <v>2223</v>
      </c>
      <c r="D267" s="796" t="s">
        <v>1999</v>
      </c>
      <c r="E267" s="796" t="s">
        <v>2222</v>
      </c>
      <c r="F267" s="796" t="s">
        <v>2222</v>
      </c>
      <c r="G267" s="796"/>
      <c r="H267" s="796"/>
      <c r="I267" s="796"/>
      <c r="J267" s="796"/>
      <c r="K267" s="796"/>
      <c r="L267" s="796"/>
      <c r="M267" s="796"/>
      <c r="N267" s="796"/>
      <c r="O267" s="796"/>
      <c r="P267" s="796"/>
      <c r="Q267" s="796"/>
      <c r="R267" s="796"/>
      <c r="S267" s="796"/>
      <c r="T267" s="796"/>
      <c r="U267" s="796"/>
      <c r="V267" s="796"/>
      <c r="W267" s="796"/>
      <c r="X267" s="796"/>
      <c r="Y267" s="796"/>
      <c r="Z267" s="796"/>
      <c r="AA267" s="796"/>
      <c r="AB267" s="796" t="s">
        <v>2000</v>
      </c>
      <c r="AC267" s="796" t="s">
        <v>2223</v>
      </c>
      <c r="AD267" s="796" t="s">
        <v>2223</v>
      </c>
      <c r="AE267" s="796"/>
      <c r="AF267" s="796"/>
      <c r="AG267" s="796"/>
      <c r="AH267" s="796"/>
      <c r="AI267" s="796"/>
      <c r="AJ267" s="796"/>
      <c r="AK267" s="796"/>
      <c r="AL267" s="796"/>
      <c r="AM267" s="796"/>
      <c r="AN267" s="796"/>
      <c r="AO267" s="796"/>
      <c r="AP267" s="796"/>
      <c r="AQ267" s="796"/>
      <c r="AR267" s="796"/>
      <c r="AS267" s="796"/>
      <c r="AT267" s="796"/>
      <c r="AU267" s="796"/>
    </row>
    <row r="268" spans="1:47" ht="13.5">
      <c r="A268" s="796" t="s">
        <v>2001</v>
      </c>
      <c r="B268" s="796" t="s">
        <v>2224</v>
      </c>
      <c r="C268" s="796" t="s">
        <v>2224</v>
      </c>
      <c r="D268" s="796" t="s">
        <v>2002</v>
      </c>
      <c r="E268" s="796" t="s">
        <v>2221</v>
      </c>
      <c r="F268" s="796" t="s">
        <v>2221</v>
      </c>
      <c r="G268" s="796"/>
      <c r="H268" s="796"/>
      <c r="I268" s="796"/>
      <c r="J268" s="796"/>
      <c r="K268" s="796"/>
      <c r="L268" s="796"/>
      <c r="M268" s="796"/>
      <c r="N268" s="796"/>
      <c r="O268" s="796"/>
      <c r="P268" s="796"/>
      <c r="Q268" s="796"/>
      <c r="R268" s="796"/>
      <c r="S268" s="796"/>
      <c r="T268" s="796"/>
      <c r="U268" s="796"/>
      <c r="V268" s="796"/>
      <c r="W268" s="796"/>
      <c r="X268" s="796"/>
      <c r="Y268" s="796"/>
      <c r="Z268" s="796"/>
      <c r="AA268" s="796"/>
      <c r="AB268" s="796" t="s">
        <v>2003</v>
      </c>
      <c r="AC268" s="796" t="s">
        <v>2222</v>
      </c>
      <c r="AD268" s="796" t="s">
        <v>2222</v>
      </c>
      <c r="AE268" s="796"/>
      <c r="AF268" s="796"/>
      <c r="AG268" s="796"/>
      <c r="AH268" s="796"/>
      <c r="AI268" s="796"/>
      <c r="AJ268" s="796"/>
      <c r="AK268" s="796"/>
      <c r="AL268" s="796"/>
      <c r="AM268" s="796"/>
      <c r="AN268" s="796"/>
      <c r="AO268" s="796"/>
      <c r="AP268" s="796"/>
      <c r="AQ268" s="796"/>
      <c r="AR268" s="796"/>
      <c r="AS268" s="796"/>
      <c r="AT268" s="796"/>
      <c r="AU268" s="796"/>
    </row>
    <row r="269" spans="1:47" ht="13.5">
      <c r="A269" s="796" t="s">
        <v>2004</v>
      </c>
      <c r="B269" s="796" t="s">
        <v>2223</v>
      </c>
      <c r="C269" s="796" t="s">
        <v>2223</v>
      </c>
      <c r="D269" s="796" t="s">
        <v>2005</v>
      </c>
      <c r="E269" s="796" t="s">
        <v>2224</v>
      </c>
      <c r="F269" s="796" t="s">
        <v>2224</v>
      </c>
      <c r="G269" s="796"/>
      <c r="H269" s="796"/>
      <c r="I269" s="796"/>
      <c r="J269" s="796"/>
      <c r="K269" s="796"/>
      <c r="L269" s="796"/>
      <c r="M269" s="796"/>
      <c r="N269" s="796"/>
      <c r="O269" s="796"/>
      <c r="P269" s="796"/>
      <c r="Q269" s="796"/>
      <c r="R269" s="796"/>
      <c r="S269" s="796"/>
      <c r="T269" s="796"/>
      <c r="U269" s="796"/>
      <c r="V269" s="796"/>
      <c r="W269" s="796"/>
      <c r="X269" s="796"/>
      <c r="Y269" s="796"/>
      <c r="Z269" s="796"/>
      <c r="AA269" s="796"/>
      <c r="AB269" s="796" t="s">
        <v>2006</v>
      </c>
      <c r="AC269" s="796" t="s">
        <v>2221</v>
      </c>
      <c r="AD269" s="796" t="s">
        <v>2222</v>
      </c>
      <c r="AE269" s="796"/>
      <c r="AF269" s="796"/>
      <c r="AG269" s="796"/>
      <c r="AH269" s="796"/>
      <c r="AI269" s="796"/>
      <c r="AJ269" s="796"/>
      <c r="AK269" s="796"/>
      <c r="AL269" s="796"/>
      <c r="AM269" s="796"/>
      <c r="AN269" s="796"/>
      <c r="AO269" s="796"/>
      <c r="AP269" s="796"/>
      <c r="AQ269" s="796"/>
      <c r="AR269" s="796"/>
      <c r="AS269" s="796"/>
      <c r="AT269" s="796"/>
      <c r="AU269" s="796"/>
    </row>
    <row r="270" spans="1:47" ht="13.5">
      <c r="A270" s="796" t="s">
        <v>2007</v>
      </c>
      <c r="B270" s="796" t="s">
        <v>2223</v>
      </c>
      <c r="C270" s="796" t="s">
        <v>2223</v>
      </c>
      <c r="D270" s="796" t="s">
        <v>2008</v>
      </c>
      <c r="E270" s="796" t="s">
        <v>2223</v>
      </c>
      <c r="F270" s="796" t="s">
        <v>2223</v>
      </c>
      <c r="G270" s="796"/>
      <c r="H270" s="796"/>
      <c r="I270" s="796"/>
      <c r="J270" s="796"/>
      <c r="K270" s="796"/>
      <c r="L270" s="796"/>
      <c r="M270" s="796"/>
      <c r="N270" s="796"/>
      <c r="O270" s="796"/>
      <c r="P270" s="796"/>
      <c r="Q270" s="796"/>
      <c r="R270" s="796"/>
      <c r="S270" s="796"/>
      <c r="T270" s="796"/>
      <c r="U270" s="796"/>
      <c r="V270" s="796"/>
      <c r="W270" s="796"/>
      <c r="X270" s="796"/>
      <c r="Y270" s="796"/>
      <c r="Z270" s="796"/>
      <c r="AA270" s="796"/>
      <c r="AB270" s="796" t="s">
        <v>2009</v>
      </c>
      <c r="AC270" s="796" t="s">
        <v>2221</v>
      </c>
      <c r="AD270" s="796" t="s">
        <v>2221</v>
      </c>
      <c r="AE270" s="796"/>
      <c r="AF270" s="796"/>
      <c r="AG270" s="796"/>
      <c r="AH270" s="796"/>
      <c r="AI270" s="796"/>
      <c r="AJ270" s="796"/>
      <c r="AK270" s="796"/>
      <c r="AL270" s="796"/>
      <c r="AM270" s="796"/>
      <c r="AN270" s="796"/>
      <c r="AO270" s="796"/>
      <c r="AP270" s="796"/>
      <c r="AQ270" s="796"/>
      <c r="AR270" s="796"/>
      <c r="AS270" s="796"/>
      <c r="AT270" s="796"/>
      <c r="AU270" s="796"/>
    </row>
    <row r="271" spans="1:47" ht="13.5">
      <c r="A271" s="796" t="s">
        <v>2010</v>
      </c>
      <c r="B271" s="796" t="s">
        <v>2222</v>
      </c>
      <c r="C271" s="796" t="s">
        <v>2223</v>
      </c>
      <c r="D271" s="796" t="s">
        <v>2011</v>
      </c>
      <c r="E271" s="796" t="s">
        <v>2223</v>
      </c>
      <c r="F271" s="796" t="s">
        <v>2224</v>
      </c>
      <c r="G271" s="796"/>
      <c r="H271" s="796"/>
      <c r="I271" s="796"/>
      <c r="J271" s="796"/>
      <c r="K271" s="796"/>
      <c r="L271" s="796"/>
      <c r="M271" s="796"/>
      <c r="N271" s="796"/>
      <c r="O271" s="796"/>
      <c r="P271" s="796"/>
      <c r="Q271" s="796"/>
      <c r="R271" s="796"/>
      <c r="S271" s="796"/>
      <c r="T271" s="796"/>
      <c r="U271" s="796"/>
      <c r="V271" s="796"/>
      <c r="W271" s="796"/>
      <c r="X271" s="796"/>
      <c r="Y271" s="796"/>
      <c r="Z271" s="796"/>
      <c r="AA271" s="796"/>
      <c r="AB271" s="796" t="s">
        <v>2012</v>
      </c>
      <c r="AC271" s="796" t="s">
        <v>2223</v>
      </c>
      <c r="AD271" s="796" t="s">
        <v>2223</v>
      </c>
      <c r="AE271" s="796"/>
      <c r="AF271" s="796"/>
      <c r="AG271" s="796"/>
      <c r="AH271" s="796"/>
      <c r="AI271" s="796"/>
      <c r="AJ271" s="796"/>
      <c r="AK271" s="796"/>
      <c r="AL271" s="796"/>
      <c r="AM271" s="796"/>
      <c r="AN271" s="796"/>
      <c r="AO271" s="796"/>
      <c r="AP271" s="796"/>
      <c r="AQ271" s="796"/>
      <c r="AR271" s="796"/>
      <c r="AS271" s="796"/>
      <c r="AT271" s="796"/>
      <c r="AU271" s="796"/>
    </row>
    <row r="272" spans="1:47" ht="13.5">
      <c r="A272" s="796" t="s">
        <v>2013</v>
      </c>
      <c r="B272" s="796" t="s">
        <v>2225</v>
      </c>
      <c r="C272" s="796" t="s">
        <v>2225</v>
      </c>
      <c r="D272" s="796" t="s">
        <v>2014</v>
      </c>
      <c r="E272" s="796" t="s">
        <v>2427</v>
      </c>
      <c r="F272" s="796" t="s">
        <v>2226</v>
      </c>
      <c r="G272" s="796"/>
      <c r="H272" s="796"/>
      <c r="I272" s="796"/>
      <c r="J272" s="796"/>
      <c r="K272" s="796"/>
      <c r="L272" s="796"/>
      <c r="M272" s="796"/>
      <c r="N272" s="796"/>
      <c r="O272" s="796"/>
      <c r="P272" s="796"/>
      <c r="Q272" s="796"/>
      <c r="R272" s="796"/>
      <c r="S272" s="796"/>
      <c r="T272" s="796"/>
      <c r="U272" s="796"/>
      <c r="V272" s="796"/>
      <c r="W272" s="796"/>
      <c r="X272" s="796"/>
      <c r="Y272" s="796"/>
      <c r="Z272" s="796"/>
      <c r="AA272" s="796"/>
      <c r="AB272" s="796" t="s">
        <v>2015</v>
      </c>
      <c r="AC272" s="796" t="s">
        <v>2223</v>
      </c>
      <c r="AD272" s="796" t="s">
        <v>2223</v>
      </c>
      <c r="AE272" s="796"/>
      <c r="AF272" s="796"/>
      <c r="AG272" s="796"/>
      <c r="AH272" s="796"/>
      <c r="AI272" s="796"/>
      <c r="AJ272" s="796"/>
      <c r="AK272" s="796"/>
      <c r="AL272" s="796"/>
      <c r="AM272" s="796"/>
      <c r="AN272" s="796"/>
      <c r="AO272" s="796"/>
      <c r="AP272" s="796"/>
      <c r="AQ272" s="796"/>
      <c r="AR272" s="796"/>
      <c r="AS272" s="796"/>
      <c r="AT272" s="796"/>
      <c r="AU272" s="796"/>
    </row>
    <row r="273" spans="1:47" ht="13.5">
      <c r="A273" s="796" t="s">
        <v>2016</v>
      </c>
      <c r="B273" s="796" t="s">
        <v>2224</v>
      </c>
      <c r="C273" s="796" t="s">
        <v>2224</v>
      </c>
      <c r="D273" s="796" t="s">
        <v>2017</v>
      </c>
      <c r="E273" s="796" t="s">
        <v>2224</v>
      </c>
      <c r="F273" s="796" t="s">
        <v>2224</v>
      </c>
      <c r="G273" s="796"/>
      <c r="H273" s="796"/>
      <c r="I273" s="796"/>
      <c r="J273" s="796"/>
      <c r="K273" s="796"/>
      <c r="L273" s="796"/>
      <c r="M273" s="796"/>
      <c r="N273" s="796"/>
      <c r="O273" s="796"/>
      <c r="P273" s="796"/>
      <c r="Q273" s="796"/>
      <c r="R273" s="796"/>
      <c r="S273" s="796"/>
      <c r="T273" s="796"/>
      <c r="U273" s="796"/>
      <c r="V273" s="796"/>
      <c r="W273" s="796"/>
      <c r="X273" s="796"/>
      <c r="Y273" s="796"/>
      <c r="Z273" s="796"/>
      <c r="AA273" s="796"/>
      <c r="AB273" s="796" t="s">
        <v>2018</v>
      </c>
      <c r="AC273" s="796" t="s">
        <v>2222</v>
      </c>
      <c r="AD273" s="796" t="s">
        <v>2223</v>
      </c>
      <c r="AE273" s="796"/>
      <c r="AF273" s="796"/>
      <c r="AG273" s="796"/>
      <c r="AH273" s="796"/>
      <c r="AI273" s="796"/>
      <c r="AJ273" s="796"/>
      <c r="AK273" s="796"/>
      <c r="AL273" s="796"/>
      <c r="AM273" s="796"/>
      <c r="AN273" s="796"/>
      <c r="AO273" s="796"/>
      <c r="AP273" s="796"/>
      <c r="AQ273" s="796"/>
      <c r="AR273" s="796"/>
      <c r="AS273" s="796"/>
      <c r="AT273" s="796"/>
      <c r="AU273" s="796"/>
    </row>
    <row r="274" spans="1:47" ht="13.5">
      <c r="A274" s="796" t="s">
        <v>2019</v>
      </c>
      <c r="B274" s="796" t="s">
        <v>2223</v>
      </c>
      <c r="C274" s="796" t="s">
        <v>2223</v>
      </c>
      <c r="D274" s="796" t="s">
        <v>2020</v>
      </c>
      <c r="E274" s="796" t="s">
        <v>2225</v>
      </c>
      <c r="F274" s="796" t="s">
        <v>2224</v>
      </c>
      <c r="G274" s="796"/>
      <c r="H274" s="796"/>
      <c r="I274" s="796"/>
      <c r="J274" s="796"/>
      <c r="K274" s="796"/>
      <c r="L274" s="796"/>
      <c r="M274" s="796"/>
      <c r="N274" s="796"/>
      <c r="O274" s="796"/>
      <c r="P274" s="796"/>
      <c r="Q274" s="796"/>
      <c r="R274" s="796"/>
      <c r="S274" s="796"/>
      <c r="T274" s="796"/>
      <c r="U274" s="796"/>
      <c r="V274" s="796"/>
      <c r="W274" s="796"/>
      <c r="X274" s="796"/>
      <c r="Y274" s="796"/>
      <c r="Z274" s="796"/>
      <c r="AA274" s="796"/>
      <c r="AB274" s="796" t="s">
        <v>2021</v>
      </c>
      <c r="AC274" s="796" t="s">
        <v>2224</v>
      </c>
      <c r="AD274" s="796" t="s">
        <v>2223</v>
      </c>
      <c r="AE274" s="796"/>
      <c r="AF274" s="796"/>
      <c r="AG274" s="796"/>
      <c r="AH274" s="796"/>
      <c r="AI274" s="796"/>
      <c r="AJ274" s="796"/>
      <c r="AK274" s="796"/>
      <c r="AL274" s="796"/>
      <c r="AM274" s="796"/>
      <c r="AN274" s="796"/>
      <c r="AO274" s="796"/>
      <c r="AP274" s="796"/>
      <c r="AQ274" s="796"/>
      <c r="AR274" s="796"/>
      <c r="AS274" s="796"/>
      <c r="AT274" s="796"/>
      <c r="AU274" s="796"/>
    </row>
    <row r="275" spans="1:47" ht="13.5">
      <c r="A275" s="796" t="s">
        <v>2022</v>
      </c>
      <c r="B275" s="796" t="s">
        <v>2223</v>
      </c>
      <c r="C275" s="796" t="s">
        <v>2223</v>
      </c>
      <c r="D275" s="796" t="s">
        <v>2023</v>
      </c>
      <c r="E275" s="796" t="s">
        <v>2222</v>
      </c>
      <c r="F275" s="796" t="s">
        <v>2222</v>
      </c>
      <c r="G275" s="796"/>
      <c r="H275" s="796"/>
      <c r="I275" s="796"/>
      <c r="J275" s="796"/>
      <c r="K275" s="796"/>
      <c r="L275" s="796"/>
      <c r="M275" s="796"/>
      <c r="N275" s="796"/>
      <c r="O275" s="796"/>
      <c r="P275" s="796"/>
      <c r="Q275" s="796"/>
      <c r="R275" s="796"/>
      <c r="S275" s="796"/>
      <c r="T275" s="796"/>
      <c r="U275" s="796"/>
      <c r="V275" s="796"/>
      <c r="W275" s="796"/>
      <c r="X275" s="796"/>
      <c r="Y275" s="796"/>
      <c r="Z275" s="796"/>
      <c r="AA275" s="796"/>
      <c r="AB275" s="796" t="s">
        <v>2024</v>
      </c>
      <c r="AC275" s="796" t="s">
        <v>2223</v>
      </c>
      <c r="AD275" s="796" t="s">
        <v>2223</v>
      </c>
      <c r="AE275" s="796"/>
      <c r="AF275" s="796"/>
      <c r="AG275" s="796"/>
      <c r="AH275" s="796"/>
      <c r="AI275" s="796"/>
      <c r="AJ275" s="796"/>
      <c r="AK275" s="796"/>
      <c r="AL275" s="796"/>
      <c r="AM275" s="796"/>
      <c r="AN275" s="796"/>
      <c r="AO275" s="796"/>
      <c r="AP275" s="796"/>
      <c r="AQ275" s="796"/>
      <c r="AR275" s="796"/>
      <c r="AS275" s="796"/>
      <c r="AT275" s="796"/>
      <c r="AU275" s="796"/>
    </row>
    <row r="276" spans="1:47" ht="13.5">
      <c r="A276" s="796" t="s">
        <v>2025</v>
      </c>
      <c r="B276" s="796" t="s">
        <v>2225</v>
      </c>
      <c r="C276" s="796" t="s">
        <v>2225</v>
      </c>
      <c r="D276" s="796" t="s">
        <v>2026</v>
      </c>
      <c r="E276" s="796" t="s">
        <v>2221</v>
      </c>
      <c r="F276" s="796" t="s">
        <v>2221</v>
      </c>
      <c r="G276" s="796"/>
      <c r="H276" s="796"/>
      <c r="I276" s="796"/>
      <c r="J276" s="796"/>
      <c r="K276" s="796"/>
      <c r="L276" s="796"/>
      <c r="M276" s="796"/>
      <c r="N276" s="796"/>
      <c r="O276" s="796"/>
      <c r="P276" s="796"/>
      <c r="Q276" s="796"/>
      <c r="R276" s="796"/>
      <c r="S276" s="796"/>
      <c r="T276" s="796"/>
      <c r="U276" s="796"/>
      <c r="V276" s="796"/>
      <c r="W276" s="796"/>
      <c r="X276" s="796"/>
      <c r="Y276" s="796"/>
      <c r="Z276" s="796"/>
      <c r="AA276" s="796"/>
      <c r="AB276" s="796" t="s">
        <v>2027</v>
      </c>
      <c r="AC276" s="796" t="s">
        <v>2222</v>
      </c>
      <c r="AD276" s="796" t="s">
        <v>2222</v>
      </c>
      <c r="AE276" s="796"/>
      <c r="AF276" s="796"/>
      <c r="AG276" s="796"/>
      <c r="AH276" s="796"/>
      <c r="AI276" s="796"/>
      <c r="AJ276" s="796"/>
      <c r="AK276" s="796"/>
      <c r="AL276" s="796"/>
      <c r="AM276" s="796"/>
      <c r="AN276" s="796"/>
      <c r="AO276" s="796"/>
      <c r="AP276" s="796"/>
      <c r="AQ276" s="796"/>
      <c r="AR276" s="796"/>
      <c r="AS276" s="796"/>
      <c r="AT276" s="796"/>
      <c r="AU276" s="796"/>
    </row>
    <row r="277" spans="1:47" ht="13.5">
      <c r="A277" s="796" t="s">
        <v>2028</v>
      </c>
      <c r="B277" s="796" t="s">
        <v>2221</v>
      </c>
      <c r="C277" s="796" t="s">
        <v>2221</v>
      </c>
      <c r="D277" s="796" t="s">
        <v>2029</v>
      </c>
      <c r="E277" s="796" t="s">
        <v>2223</v>
      </c>
      <c r="F277" s="796" t="s">
        <v>2223</v>
      </c>
      <c r="G277" s="796"/>
      <c r="H277" s="796"/>
      <c r="I277" s="796"/>
      <c r="J277" s="796"/>
      <c r="K277" s="796"/>
      <c r="L277" s="796"/>
      <c r="M277" s="796"/>
      <c r="N277" s="796"/>
      <c r="O277" s="796"/>
      <c r="P277" s="796"/>
      <c r="Q277" s="796"/>
      <c r="R277" s="796"/>
      <c r="S277" s="796"/>
      <c r="T277" s="796"/>
      <c r="U277" s="796"/>
      <c r="V277" s="796"/>
      <c r="W277" s="796"/>
      <c r="X277" s="796"/>
      <c r="Y277" s="796"/>
      <c r="Z277" s="796"/>
      <c r="AA277" s="796"/>
      <c r="AB277" s="796" t="s">
        <v>2030</v>
      </c>
      <c r="AC277" s="796" t="s">
        <v>2222</v>
      </c>
      <c r="AD277" s="796" t="s">
        <v>2222</v>
      </c>
      <c r="AE277" s="796"/>
      <c r="AF277" s="796"/>
      <c r="AG277" s="796"/>
      <c r="AH277" s="796"/>
      <c r="AI277" s="796"/>
      <c r="AJ277" s="796"/>
      <c r="AK277" s="796"/>
      <c r="AL277" s="796"/>
      <c r="AM277" s="796"/>
      <c r="AN277" s="796"/>
      <c r="AO277" s="796"/>
      <c r="AP277" s="796"/>
      <c r="AQ277" s="796"/>
      <c r="AR277" s="796"/>
      <c r="AS277" s="796"/>
      <c r="AT277" s="796"/>
      <c r="AU277" s="796"/>
    </row>
    <row r="278" spans="1:47" ht="13.5">
      <c r="A278" s="796" t="s">
        <v>2031</v>
      </c>
      <c r="B278" s="796" t="s">
        <v>2223</v>
      </c>
      <c r="C278" s="796" t="s">
        <v>2223</v>
      </c>
      <c r="D278" s="796" t="s">
        <v>2032</v>
      </c>
      <c r="E278" s="796" t="s">
        <v>2223</v>
      </c>
      <c r="F278" s="796"/>
      <c r="G278" s="796"/>
      <c r="H278" s="796"/>
      <c r="I278" s="796"/>
      <c r="J278" s="796"/>
      <c r="K278" s="796"/>
      <c r="L278" s="796"/>
      <c r="M278" s="796"/>
      <c r="N278" s="796"/>
      <c r="O278" s="796"/>
      <c r="P278" s="796"/>
      <c r="Q278" s="796"/>
      <c r="R278" s="796"/>
      <c r="S278" s="796"/>
      <c r="T278" s="796"/>
      <c r="U278" s="796"/>
      <c r="V278" s="796"/>
      <c r="W278" s="796"/>
      <c r="X278" s="796"/>
      <c r="Y278" s="796"/>
      <c r="Z278" s="796"/>
      <c r="AA278" s="796"/>
      <c r="AB278" s="796" t="s">
        <v>2033</v>
      </c>
      <c r="AC278" s="796" t="s">
        <v>2223</v>
      </c>
      <c r="AD278" s="796" t="s">
        <v>2223</v>
      </c>
      <c r="AE278" s="796"/>
      <c r="AF278" s="796"/>
      <c r="AG278" s="796"/>
      <c r="AH278" s="796"/>
      <c r="AI278" s="796"/>
      <c r="AJ278" s="796"/>
      <c r="AK278" s="796"/>
      <c r="AL278" s="796"/>
      <c r="AM278" s="796"/>
      <c r="AN278" s="796"/>
      <c r="AO278" s="796"/>
      <c r="AP278" s="796"/>
      <c r="AQ278" s="796"/>
      <c r="AR278" s="796"/>
      <c r="AS278" s="796"/>
      <c r="AT278" s="796"/>
      <c r="AU278" s="796"/>
    </row>
    <row r="279" spans="1:47" ht="13.5">
      <c r="A279" s="796" t="s">
        <v>2034</v>
      </c>
      <c r="B279" s="796" t="s">
        <v>2223</v>
      </c>
      <c r="C279" s="796" t="s">
        <v>2223</v>
      </c>
      <c r="D279" s="796" t="s">
        <v>2035</v>
      </c>
      <c r="E279" s="796" t="s">
        <v>2222</v>
      </c>
      <c r="F279" s="796" t="s">
        <v>2223</v>
      </c>
      <c r="G279" s="796"/>
      <c r="H279" s="796"/>
      <c r="I279" s="796"/>
      <c r="J279" s="796"/>
      <c r="K279" s="796"/>
      <c r="L279" s="796"/>
      <c r="M279" s="796"/>
      <c r="N279" s="796"/>
      <c r="O279" s="796"/>
      <c r="P279" s="796"/>
      <c r="Q279" s="796"/>
      <c r="R279" s="796"/>
      <c r="S279" s="796"/>
      <c r="T279" s="796"/>
      <c r="U279" s="796"/>
      <c r="V279" s="796"/>
      <c r="W279" s="796"/>
      <c r="X279" s="796"/>
      <c r="Y279" s="796"/>
      <c r="Z279" s="796"/>
      <c r="AA279" s="796"/>
      <c r="AB279" s="796" t="s">
        <v>2036</v>
      </c>
      <c r="AC279" s="796" t="s">
        <v>2221</v>
      </c>
      <c r="AD279" s="796" t="s">
        <v>2221</v>
      </c>
      <c r="AE279" s="796"/>
      <c r="AF279" s="796"/>
      <c r="AG279" s="796"/>
      <c r="AH279" s="796"/>
      <c r="AI279" s="796"/>
      <c r="AJ279" s="796"/>
      <c r="AK279" s="796"/>
      <c r="AL279" s="796"/>
      <c r="AM279" s="796"/>
      <c r="AN279" s="796"/>
      <c r="AO279" s="796"/>
      <c r="AP279" s="796"/>
      <c r="AQ279" s="796"/>
      <c r="AR279" s="796"/>
      <c r="AS279" s="796"/>
      <c r="AT279" s="796"/>
      <c r="AU279" s="796"/>
    </row>
    <row r="280" spans="1:47" ht="13.5">
      <c r="A280" s="796" t="s">
        <v>2037</v>
      </c>
      <c r="B280" s="796" t="s">
        <v>2225</v>
      </c>
      <c r="C280" s="796" t="s">
        <v>2224</v>
      </c>
      <c r="D280" s="796" t="s">
        <v>2038</v>
      </c>
      <c r="E280" s="796" t="s">
        <v>2223</v>
      </c>
      <c r="F280" s="796" t="s">
        <v>2223</v>
      </c>
      <c r="G280" s="796"/>
      <c r="H280" s="796"/>
      <c r="I280" s="796"/>
      <c r="J280" s="796"/>
      <c r="K280" s="796"/>
      <c r="L280" s="796"/>
      <c r="M280" s="796"/>
      <c r="N280" s="796"/>
      <c r="O280" s="796"/>
      <c r="P280" s="796"/>
      <c r="Q280" s="796"/>
      <c r="R280" s="796"/>
      <c r="S280" s="796"/>
      <c r="T280" s="796"/>
      <c r="U280" s="796"/>
      <c r="V280" s="796"/>
      <c r="W280" s="796"/>
      <c r="X280" s="796"/>
      <c r="Y280" s="796"/>
      <c r="Z280" s="796"/>
      <c r="AA280" s="796"/>
      <c r="AB280" s="796" t="s">
        <v>2039</v>
      </c>
      <c r="AC280" s="796" t="s">
        <v>2225</v>
      </c>
      <c r="AD280" s="796" t="s">
        <v>2225</v>
      </c>
      <c r="AE280" s="796"/>
      <c r="AF280" s="796"/>
      <c r="AG280" s="796"/>
      <c r="AH280" s="796"/>
      <c r="AI280" s="796"/>
      <c r="AJ280" s="796"/>
      <c r="AK280" s="796"/>
      <c r="AL280" s="796"/>
      <c r="AM280" s="796"/>
      <c r="AN280" s="796"/>
      <c r="AO280" s="796"/>
      <c r="AP280" s="796"/>
      <c r="AQ280" s="796"/>
      <c r="AR280" s="796"/>
      <c r="AS280" s="796"/>
      <c r="AT280" s="796"/>
      <c r="AU280" s="796"/>
    </row>
    <row r="281" spans="1:47" ht="13.5">
      <c r="A281" s="796" t="s">
        <v>2040</v>
      </c>
      <c r="B281" s="796" t="s">
        <v>2225</v>
      </c>
      <c r="C281" s="796" t="s">
        <v>2224</v>
      </c>
      <c r="D281" s="796" t="s">
        <v>2041</v>
      </c>
      <c r="E281" s="796" t="s">
        <v>2221</v>
      </c>
      <c r="F281" s="796" t="s">
        <v>2221</v>
      </c>
      <c r="G281" s="796"/>
      <c r="H281" s="796"/>
      <c r="I281" s="796"/>
      <c r="J281" s="796"/>
      <c r="K281" s="796"/>
      <c r="L281" s="796"/>
      <c r="M281" s="796"/>
      <c r="N281" s="796"/>
      <c r="O281" s="796"/>
      <c r="P281" s="796"/>
      <c r="Q281" s="796"/>
      <c r="R281" s="796"/>
      <c r="S281" s="796"/>
      <c r="T281" s="796"/>
      <c r="U281" s="796"/>
      <c r="V281" s="796"/>
      <c r="W281" s="796"/>
      <c r="X281" s="796"/>
      <c r="Y281" s="796"/>
      <c r="Z281" s="796"/>
      <c r="AA281" s="796"/>
      <c r="AB281" s="796" t="s">
        <v>2042</v>
      </c>
      <c r="AC281" s="796" t="s">
        <v>2222</v>
      </c>
      <c r="AD281" s="796" t="s">
        <v>2222</v>
      </c>
      <c r="AE281" s="796"/>
      <c r="AF281" s="796"/>
      <c r="AG281" s="796"/>
      <c r="AH281" s="796"/>
      <c r="AI281" s="796"/>
      <c r="AJ281" s="796"/>
      <c r="AK281" s="796"/>
      <c r="AL281" s="796"/>
      <c r="AM281" s="796"/>
      <c r="AN281" s="796"/>
      <c r="AO281" s="796"/>
      <c r="AP281" s="796"/>
      <c r="AQ281" s="796"/>
      <c r="AR281" s="796"/>
      <c r="AS281" s="796"/>
      <c r="AT281" s="796"/>
      <c r="AU281" s="796"/>
    </row>
    <row r="282" spans="1:47" ht="13.5">
      <c r="A282" s="796" t="s">
        <v>2043</v>
      </c>
      <c r="B282" s="796" t="s">
        <v>2224</v>
      </c>
      <c r="C282" s="796"/>
      <c r="D282" s="796" t="s">
        <v>2044</v>
      </c>
      <c r="E282" s="796" t="s">
        <v>2222</v>
      </c>
      <c r="F282" s="796" t="s">
        <v>2222</v>
      </c>
      <c r="G282" s="796"/>
      <c r="H282" s="796"/>
      <c r="I282" s="796"/>
      <c r="J282" s="796"/>
      <c r="K282" s="796"/>
      <c r="L282" s="796"/>
      <c r="M282" s="796"/>
      <c r="N282" s="796"/>
      <c r="O282" s="796"/>
      <c r="P282" s="796"/>
      <c r="Q282" s="796"/>
      <c r="R282" s="796"/>
      <c r="S282" s="796"/>
      <c r="T282" s="796"/>
      <c r="U282" s="796"/>
      <c r="V282" s="796"/>
      <c r="W282" s="796"/>
      <c r="X282" s="796"/>
      <c r="Y282" s="796"/>
      <c r="Z282" s="796"/>
      <c r="AA282" s="796"/>
      <c r="AB282" s="796" t="s">
        <v>2045</v>
      </c>
      <c r="AC282" s="796" t="s">
        <v>2221</v>
      </c>
      <c r="AD282" s="796" t="s">
        <v>2221</v>
      </c>
      <c r="AE282" s="796"/>
      <c r="AF282" s="796"/>
      <c r="AG282" s="796"/>
      <c r="AH282" s="796"/>
      <c r="AI282" s="796"/>
      <c r="AJ282" s="796"/>
      <c r="AK282" s="796"/>
      <c r="AL282" s="796"/>
      <c r="AM282" s="796"/>
      <c r="AN282" s="796"/>
      <c r="AO282" s="796"/>
      <c r="AP282" s="796"/>
      <c r="AQ282" s="796"/>
      <c r="AR282" s="796"/>
      <c r="AS282" s="796"/>
      <c r="AT282" s="796"/>
      <c r="AU282" s="796"/>
    </row>
    <row r="283" spans="1:47" ht="13.5">
      <c r="A283" s="796" t="s">
        <v>2046</v>
      </c>
      <c r="B283" s="796" t="s">
        <v>2225</v>
      </c>
      <c r="C283" s="796" t="s">
        <v>2225</v>
      </c>
      <c r="D283" s="796" t="s">
        <v>2047</v>
      </c>
      <c r="E283" s="796" t="s">
        <v>2427</v>
      </c>
      <c r="F283" s="796" t="s">
        <v>2226</v>
      </c>
      <c r="G283" s="796"/>
      <c r="H283" s="796"/>
      <c r="I283" s="796"/>
      <c r="J283" s="796"/>
      <c r="K283" s="796"/>
      <c r="L283" s="796"/>
      <c r="M283" s="796"/>
      <c r="N283" s="796"/>
      <c r="O283" s="796"/>
      <c r="P283" s="796"/>
      <c r="Q283" s="796"/>
      <c r="R283" s="796"/>
      <c r="S283" s="796"/>
      <c r="T283" s="796"/>
      <c r="U283" s="796"/>
      <c r="V283" s="796"/>
      <c r="W283" s="796"/>
      <c r="X283" s="796"/>
      <c r="Y283" s="796"/>
      <c r="Z283" s="796"/>
      <c r="AA283" s="796"/>
      <c r="AB283" s="796" t="s">
        <v>2048</v>
      </c>
      <c r="AC283" s="796" t="s">
        <v>2221</v>
      </c>
      <c r="AD283" s="796" t="s">
        <v>2221</v>
      </c>
      <c r="AE283" s="796"/>
      <c r="AF283" s="796"/>
      <c r="AG283" s="796"/>
      <c r="AH283" s="796"/>
      <c r="AI283" s="796"/>
      <c r="AJ283" s="796"/>
      <c r="AK283" s="796"/>
      <c r="AL283" s="796"/>
      <c r="AM283" s="796"/>
      <c r="AN283" s="796"/>
      <c r="AO283" s="796"/>
      <c r="AP283" s="796"/>
      <c r="AQ283" s="796"/>
      <c r="AR283" s="796"/>
      <c r="AS283" s="796"/>
      <c r="AT283" s="796"/>
      <c r="AU283" s="796"/>
    </row>
    <row r="284" spans="1:47" ht="13.5">
      <c r="A284" s="796" t="s">
        <v>2049</v>
      </c>
      <c r="B284" s="796" t="s">
        <v>2223</v>
      </c>
      <c r="C284" s="796" t="s">
        <v>2223</v>
      </c>
      <c r="D284" s="796" t="s">
        <v>2050</v>
      </c>
      <c r="E284" s="796" t="s">
        <v>2427</v>
      </c>
      <c r="F284" s="796" t="s">
        <v>2226</v>
      </c>
      <c r="G284" s="796"/>
      <c r="H284" s="796"/>
      <c r="I284" s="796"/>
      <c r="J284" s="796"/>
      <c r="K284" s="796"/>
      <c r="L284" s="796"/>
      <c r="M284" s="796"/>
      <c r="N284" s="796"/>
      <c r="O284" s="796"/>
      <c r="P284" s="796"/>
      <c r="Q284" s="796"/>
      <c r="R284" s="796"/>
      <c r="S284" s="796"/>
      <c r="T284" s="796"/>
      <c r="U284" s="796"/>
      <c r="V284" s="796"/>
      <c r="W284" s="796"/>
      <c r="X284" s="796"/>
      <c r="Y284" s="796"/>
      <c r="Z284" s="796"/>
      <c r="AA284" s="796"/>
      <c r="AB284" s="796" t="s">
        <v>2051</v>
      </c>
      <c r="AC284" s="796" t="s">
        <v>2224</v>
      </c>
      <c r="AD284" s="796" t="s">
        <v>2224</v>
      </c>
      <c r="AE284" s="796"/>
      <c r="AF284" s="796"/>
      <c r="AG284" s="796"/>
      <c r="AH284" s="796"/>
      <c r="AI284" s="796"/>
      <c r="AJ284" s="796"/>
      <c r="AK284" s="796"/>
      <c r="AL284" s="796"/>
      <c r="AM284" s="796"/>
      <c r="AN284" s="796"/>
      <c r="AO284" s="796"/>
      <c r="AP284" s="796"/>
      <c r="AQ284" s="796"/>
      <c r="AR284" s="796"/>
      <c r="AS284" s="796"/>
      <c r="AT284" s="796"/>
      <c r="AU284" s="796"/>
    </row>
    <row r="285" spans="1:47" ht="13.5">
      <c r="A285" s="796" t="s">
        <v>2052</v>
      </c>
      <c r="B285" s="796" t="s">
        <v>2224</v>
      </c>
      <c r="C285" s="796" t="s">
        <v>2224</v>
      </c>
      <c r="D285" s="796" t="s">
        <v>2053</v>
      </c>
      <c r="E285" s="796" t="s">
        <v>2427</v>
      </c>
      <c r="F285" s="796" t="s">
        <v>2226</v>
      </c>
      <c r="G285" s="796"/>
      <c r="H285" s="796"/>
      <c r="I285" s="796"/>
      <c r="J285" s="796"/>
      <c r="K285" s="796"/>
      <c r="L285" s="796"/>
      <c r="M285" s="796"/>
      <c r="N285" s="796"/>
      <c r="O285" s="796"/>
      <c r="P285" s="796"/>
      <c r="Q285" s="796"/>
      <c r="R285" s="796"/>
      <c r="S285" s="796"/>
      <c r="T285" s="796"/>
      <c r="U285" s="796"/>
      <c r="V285" s="796"/>
      <c r="W285" s="796"/>
      <c r="X285" s="796"/>
      <c r="Y285" s="796"/>
      <c r="Z285" s="796"/>
      <c r="AA285" s="796"/>
      <c r="AB285" s="796" t="s">
        <v>2054</v>
      </c>
      <c r="AC285" s="796" t="s">
        <v>2222</v>
      </c>
      <c r="AD285" s="796" t="s">
        <v>2222</v>
      </c>
      <c r="AE285" s="796"/>
      <c r="AF285" s="796"/>
      <c r="AG285" s="796"/>
      <c r="AH285" s="796"/>
      <c r="AI285" s="796"/>
      <c r="AJ285" s="796"/>
      <c r="AK285" s="796"/>
      <c r="AL285" s="796"/>
      <c r="AM285" s="796"/>
      <c r="AN285" s="796"/>
      <c r="AO285" s="796"/>
      <c r="AP285" s="796"/>
      <c r="AQ285" s="796"/>
      <c r="AR285" s="796"/>
      <c r="AS285" s="796"/>
      <c r="AT285" s="796"/>
      <c r="AU285" s="796"/>
    </row>
    <row r="286" spans="1:47" ht="13.5">
      <c r="A286" s="796" t="s">
        <v>2055</v>
      </c>
      <c r="B286" s="796" t="s">
        <v>2223</v>
      </c>
      <c r="C286" s="796" t="s">
        <v>2223</v>
      </c>
      <c r="D286" s="796" t="s">
        <v>2056</v>
      </c>
      <c r="E286" s="796" t="s">
        <v>2427</v>
      </c>
      <c r="F286" s="796" t="s">
        <v>2226</v>
      </c>
      <c r="G286" s="796"/>
      <c r="H286" s="796"/>
      <c r="I286" s="796"/>
      <c r="J286" s="796"/>
      <c r="K286" s="796"/>
      <c r="L286" s="796"/>
      <c r="M286" s="796"/>
      <c r="N286" s="796"/>
      <c r="O286" s="796"/>
      <c r="P286" s="796"/>
      <c r="Q286" s="796"/>
      <c r="R286" s="796"/>
      <c r="S286" s="796"/>
      <c r="T286" s="796"/>
      <c r="U286" s="796"/>
      <c r="V286" s="796"/>
      <c r="W286" s="796"/>
      <c r="X286" s="796"/>
      <c r="Y286" s="796"/>
      <c r="Z286" s="796"/>
      <c r="AA286" s="796"/>
      <c r="AB286" s="796" t="s">
        <v>2057</v>
      </c>
      <c r="AC286" s="796" t="s">
        <v>2222</v>
      </c>
      <c r="AD286" s="796" t="s">
        <v>2222</v>
      </c>
      <c r="AE286" s="796"/>
      <c r="AF286" s="796"/>
      <c r="AG286" s="796"/>
      <c r="AH286" s="796"/>
      <c r="AI286" s="796"/>
      <c r="AJ286" s="796"/>
      <c r="AK286" s="796"/>
      <c r="AL286" s="796"/>
      <c r="AM286" s="796"/>
      <c r="AN286" s="796"/>
      <c r="AO286" s="796"/>
      <c r="AP286" s="796"/>
      <c r="AQ286" s="796"/>
      <c r="AR286" s="796"/>
      <c r="AS286" s="796"/>
      <c r="AT286" s="796"/>
      <c r="AU286" s="796"/>
    </row>
    <row r="287" spans="1:47" ht="13.5">
      <c r="A287" s="796" t="s">
        <v>2058</v>
      </c>
      <c r="B287" s="796" t="s">
        <v>2225</v>
      </c>
      <c r="C287" s="796" t="s">
        <v>2224</v>
      </c>
      <c r="D287" s="796" t="s">
        <v>2059</v>
      </c>
      <c r="E287" s="796" t="s">
        <v>2222</v>
      </c>
      <c r="F287" s="796" t="s">
        <v>2221</v>
      </c>
      <c r="G287" s="796"/>
      <c r="H287" s="796"/>
      <c r="I287" s="796"/>
      <c r="J287" s="796"/>
      <c r="K287" s="796"/>
      <c r="L287" s="796"/>
      <c r="M287" s="796"/>
      <c r="N287" s="796"/>
      <c r="O287" s="796"/>
      <c r="P287" s="796"/>
      <c r="Q287" s="796"/>
      <c r="R287" s="796"/>
      <c r="S287" s="796"/>
      <c r="T287" s="796"/>
      <c r="U287" s="796"/>
      <c r="V287" s="796"/>
      <c r="W287" s="796"/>
      <c r="X287" s="796"/>
      <c r="Y287" s="796"/>
      <c r="Z287" s="796"/>
      <c r="AA287" s="796"/>
      <c r="AB287" s="796" t="s">
        <v>2060</v>
      </c>
      <c r="AC287" s="796" t="s">
        <v>2223</v>
      </c>
      <c r="AD287" s="796" t="s">
        <v>2223</v>
      </c>
      <c r="AE287" s="796"/>
      <c r="AF287" s="796"/>
      <c r="AG287" s="796"/>
      <c r="AH287" s="796"/>
      <c r="AI287" s="796"/>
      <c r="AJ287" s="796"/>
      <c r="AK287" s="796"/>
      <c r="AL287" s="796"/>
      <c r="AM287" s="796"/>
      <c r="AN287" s="796"/>
      <c r="AO287" s="796"/>
      <c r="AP287" s="796"/>
      <c r="AQ287" s="796"/>
      <c r="AR287" s="796"/>
      <c r="AS287" s="796"/>
      <c r="AT287" s="796"/>
      <c r="AU287" s="796"/>
    </row>
    <row r="288" spans="1:47" ht="13.5">
      <c r="A288" s="796" t="s">
        <v>2061</v>
      </c>
      <c r="B288" s="796" t="s">
        <v>2223</v>
      </c>
      <c r="C288" s="796" t="s">
        <v>2223</v>
      </c>
      <c r="D288" s="796" t="s">
        <v>2062</v>
      </c>
      <c r="E288" s="796" t="s">
        <v>2221</v>
      </c>
      <c r="F288" s="796" t="s">
        <v>2221</v>
      </c>
      <c r="G288" s="796"/>
      <c r="H288" s="796"/>
      <c r="I288" s="796"/>
      <c r="J288" s="796"/>
      <c r="K288" s="796"/>
      <c r="L288" s="796"/>
      <c r="M288" s="796"/>
      <c r="N288" s="796"/>
      <c r="O288" s="796"/>
      <c r="P288" s="796"/>
      <c r="Q288" s="796"/>
      <c r="R288" s="796"/>
      <c r="S288" s="796"/>
      <c r="T288" s="796"/>
      <c r="U288" s="796"/>
      <c r="V288" s="796"/>
      <c r="W288" s="796"/>
      <c r="X288" s="796"/>
      <c r="Y288" s="796"/>
      <c r="Z288" s="796"/>
      <c r="AA288" s="796"/>
      <c r="AB288" s="796" t="s">
        <v>2063</v>
      </c>
      <c r="AC288" s="796" t="s">
        <v>2221</v>
      </c>
      <c r="AD288" s="796" t="s">
        <v>2221</v>
      </c>
      <c r="AE288" s="796"/>
      <c r="AF288" s="796"/>
      <c r="AG288" s="796"/>
      <c r="AH288" s="796"/>
      <c r="AI288" s="796"/>
      <c r="AJ288" s="796"/>
      <c r="AK288" s="796"/>
      <c r="AL288" s="796"/>
      <c r="AM288" s="796"/>
      <c r="AN288" s="796"/>
      <c r="AO288" s="796"/>
      <c r="AP288" s="796"/>
      <c r="AQ288" s="796"/>
      <c r="AR288" s="796"/>
      <c r="AS288" s="796"/>
      <c r="AT288" s="796"/>
      <c r="AU288" s="796"/>
    </row>
    <row r="289" spans="1:47" ht="13.5">
      <c r="A289" s="796" t="s">
        <v>2064</v>
      </c>
      <c r="B289" s="796" t="s">
        <v>2225</v>
      </c>
      <c r="C289" s="796" t="s">
        <v>2224</v>
      </c>
      <c r="D289" s="796" t="s">
        <v>2065</v>
      </c>
      <c r="E289" s="796" t="s">
        <v>2223</v>
      </c>
      <c r="F289" s="796" t="s">
        <v>2223</v>
      </c>
      <c r="G289" s="796"/>
      <c r="H289" s="796"/>
      <c r="I289" s="796"/>
      <c r="J289" s="796"/>
      <c r="K289" s="796"/>
      <c r="L289" s="796"/>
      <c r="M289" s="796"/>
      <c r="N289" s="796"/>
      <c r="O289" s="796"/>
      <c r="P289" s="796"/>
      <c r="Q289" s="796"/>
      <c r="R289" s="796"/>
      <c r="S289" s="796"/>
      <c r="T289" s="796"/>
      <c r="U289" s="796"/>
      <c r="V289" s="796"/>
      <c r="W289" s="796"/>
      <c r="X289" s="796"/>
      <c r="Y289" s="796"/>
      <c r="Z289" s="796"/>
      <c r="AA289" s="796"/>
      <c r="AB289" s="796" t="s">
        <v>2066</v>
      </c>
      <c r="AC289" s="796" t="s">
        <v>2222</v>
      </c>
      <c r="AD289" s="796" t="s">
        <v>2222</v>
      </c>
      <c r="AE289" s="796"/>
      <c r="AF289" s="796"/>
      <c r="AG289" s="796"/>
      <c r="AH289" s="796"/>
      <c r="AI289" s="796"/>
      <c r="AJ289" s="796"/>
      <c r="AK289" s="796"/>
      <c r="AL289" s="796"/>
      <c r="AM289" s="796"/>
      <c r="AN289" s="796"/>
      <c r="AO289" s="796"/>
      <c r="AP289" s="796"/>
      <c r="AQ289" s="796"/>
      <c r="AR289" s="796"/>
      <c r="AS289" s="796"/>
      <c r="AT289" s="796"/>
      <c r="AU289" s="796"/>
    </row>
    <row r="290" spans="1:47" ht="13.5">
      <c r="A290" s="796" t="s">
        <v>2067</v>
      </c>
      <c r="B290" s="796" t="s">
        <v>2225</v>
      </c>
      <c r="C290" s="796" t="s">
        <v>2224</v>
      </c>
      <c r="D290" s="796" t="s">
        <v>2068</v>
      </c>
      <c r="E290" s="796" t="s">
        <v>2221</v>
      </c>
      <c r="F290" s="796" t="s">
        <v>2221</v>
      </c>
      <c r="G290" s="796"/>
      <c r="H290" s="796"/>
      <c r="I290" s="796"/>
      <c r="J290" s="796"/>
      <c r="K290" s="796"/>
      <c r="L290" s="796"/>
      <c r="M290" s="796"/>
      <c r="N290" s="796"/>
      <c r="O290" s="796"/>
      <c r="P290" s="796"/>
      <c r="Q290" s="796"/>
      <c r="R290" s="796"/>
      <c r="S290" s="796"/>
      <c r="T290" s="796"/>
      <c r="U290" s="796"/>
      <c r="V290" s="796"/>
      <c r="W290" s="796"/>
      <c r="X290" s="796"/>
      <c r="Y290" s="796"/>
      <c r="Z290" s="796"/>
      <c r="AA290" s="796"/>
      <c r="AB290" s="796" t="s">
        <v>2069</v>
      </c>
      <c r="AC290" s="796" t="s">
        <v>2221</v>
      </c>
      <c r="AD290" s="796" t="s">
        <v>2221</v>
      </c>
      <c r="AE290" s="796"/>
      <c r="AF290" s="796"/>
      <c r="AG290" s="796"/>
      <c r="AH290" s="796"/>
      <c r="AI290" s="796"/>
      <c r="AJ290" s="796"/>
      <c r="AK290" s="796"/>
      <c r="AL290" s="796"/>
      <c r="AM290" s="796"/>
      <c r="AN290" s="796"/>
      <c r="AO290" s="796"/>
      <c r="AP290" s="796"/>
      <c r="AQ290" s="796"/>
      <c r="AR290" s="796"/>
      <c r="AS290" s="796"/>
      <c r="AT290" s="796"/>
      <c r="AU290" s="796"/>
    </row>
    <row r="291" spans="1:47" ht="13.5">
      <c r="A291" s="796" t="s">
        <v>2070</v>
      </c>
      <c r="B291" s="796" t="s">
        <v>2222</v>
      </c>
      <c r="C291" s="796" t="s">
        <v>2222</v>
      </c>
      <c r="D291" s="796" t="s">
        <v>2071</v>
      </c>
      <c r="E291" s="796" t="s">
        <v>2222</v>
      </c>
      <c r="F291" s="796" t="s">
        <v>2222</v>
      </c>
      <c r="G291" s="796"/>
      <c r="H291" s="796"/>
      <c r="I291" s="796"/>
      <c r="J291" s="796"/>
      <c r="K291" s="796"/>
      <c r="L291" s="796"/>
      <c r="M291" s="796"/>
      <c r="N291" s="796"/>
      <c r="O291" s="796"/>
      <c r="P291" s="796"/>
      <c r="Q291" s="796"/>
      <c r="R291" s="796"/>
      <c r="S291" s="796"/>
      <c r="T291" s="796"/>
      <c r="U291" s="796"/>
      <c r="V291" s="796"/>
      <c r="W291" s="796"/>
      <c r="X291" s="796"/>
      <c r="Y291" s="796"/>
      <c r="Z291" s="796"/>
      <c r="AA291" s="796"/>
      <c r="AB291" s="796" t="s">
        <v>2072</v>
      </c>
      <c r="AC291" s="796" t="s">
        <v>2222</v>
      </c>
      <c r="AD291" s="796" t="s">
        <v>2223</v>
      </c>
      <c r="AE291" s="796"/>
      <c r="AF291" s="796"/>
      <c r="AG291" s="796"/>
      <c r="AH291" s="796"/>
      <c r="AI291" s="796"/>
      <c r="AJ291" s="796"/>
      <c r="AK291" s="796"/>
      <c r="AL291" s="796"/>
      <c r="AM291" s="796"/>
      <c r="AN291" s="796"/>
      <c r="AO291" s="796"/>
      <c r="AP291" s="796"/>
      <c r="AQ291" s="796"/>
      <c r="AR291" s="796"/>
      <c r="AS291" s="796"/>
      <c r="AT291" s="796"/>
      <c r="AU291" s="796"/>
    </row>
    <row r="292" spans="1:47" ht="13.5">
      <c r="A292" s="796" t="s">
        <v>2073</v>
      </c>
      <c r="B292" s="796" t="s">
        <v>2225</v>
      </c>
      <c r="C292" s="796" t="s">
        <v>2224</v>
      </c>
      <c r="D292" s="796" t="s">
        <v>2074</v>
      </c>
      <c r="E292" s="796" t="s">
        <v>2224</v>
      </c>
      <c r="F292" s="796" t="s">
        <v>2224</v>
      </c>
      <c r="G292" s="796"/>
      <c r="H292" s="796"/>
      <c r="I292" s="796"/>
      <c r="J292" s="796"/>
      <c r="K292" s="796"/>
      <c r="L292" s="796"/>
      <c r="M292" s="796"/>
      <c r="N292" s="796"/>
      <c r="O292" s="796"/>
      <c r="P292" s="796"/>
      <c r="Q292" s="796"/>
      <c r="R292" s="796"/>
      <c r="S292" s="796"/>
      <c r="T292" s="796"/>
      <c r="U292" s="796"/>
      <c r="V292" s="796"/>
      <c r="W292" s="796"/>
      <c r="X292" s="796"/>
      <c r="Y292" s="796"/>
      <c r="Z292" s="796"/>
      <c r="AA292" s="796"/>
      <c r="AB292" s="796" t="s">
        <v>2075</v>
      </c>
      <c r="AC292" s="796" t="s">
        <v>2223</v>
      </c>
      <c r="AD292" s="796" t="s">
        <v>2223</v>
      </c>
      <c r="AE292" s="796"/>
      <c r="AF292" s="796"/>
      <c r="AG292" s="796"/>
      <c r="AH292" s="796"/>
      <c r="AI292" s="796"/>
      <c r="AJ292" s="796"/>
      <c r="AK292" s="796"/>
      <c r="AL292" s="796"/>
      <c r="AM292" s="796"/>
      <c r="AN292" s="796"/>
      <c r="AO292" s="796"/>
      <c r="AP292" s="796"/>
      <c r="AQ292" s="796"/>
      <c r="AR292" s="796"/>
      <c r="AS292" s="796"/>
      <c r="AT292" s="796"/>
      <c r="AU292" s="796"/>
    </row>
    <row r="293" spans="1:47" ht="13.5">
      <c r="A293" s="796" t="s">
        <v>2076</v>
      </c>
      <c r="B293" s="796" t="s">
        <v>2222</v>
      </c>
      <c r="C293" s="796"/>
      <c r="D293" s="796" t="s">
        <v>2077</v>
      </c>
      <c r="E293" s="796" t="s">
        <v>2221</v>
      </c>
      <c r="F293" s="796" t="s">
        <v>2221</v>
      </c>
      <c r="G293" s="796"/>
      <c r="H293" s="796"/>
      <c r="I293" s="796"/>
      <c r="J293" s="796"/>
      <c r="K293" s="796"/>
      <c r="L293" s="796"/>
      <c r="M293" s="796"/>
      <c r="N293" s="796"/>
      <c r="O293" s="796"/>
      <c r="P293" s="796"/>
      <c r="Q293" s="796"/>
      <c r="R293" s="796"/>
      <c r="S293" s="796"/>
      <c r="T293" s="796"/>
      <c r="U293" s="796"/>
      <c r="V293" s="796"/>
      <c r="W293" s="796"/>
      <c r="X293" s="796"/>
      <c r="Y293" s="796"/>
      <c r="Z293" s="796"/>
      <c r="AA293" s="796"/>
      <c r="AB293" s="796" t="s">
        <v>2078</v>
      </c>
      <c r="AC293" s="796" t="s">
        <v>2223</v>
      </c>
      <c r="AD293" s="796" t="s">
        <v>2223</v>
      </c>
      <c r="AE293" s="796"/>
      <c r="AF293" s="796"/>
      <c r="AG293" s="796"/>
      <c r="AH293" s="796"/>
      <c r="AI293" s="796"/>
      <c r="AJ293" s="796"/>
      <c r="AK293" s="796"/>
      <c r="AL293" s="796"/>
      <c r="AM293" s="796"/>
      <c r="AN293" s="796"/>
      <c r="AO293" s="796"/>
      <c r="AP293" s="796"/>
      <c r="AQ293" s="796"/>
      <c r="AR293" s="796"/>
      <c r="AS293" s="796"/>
      <c r="AT293" s="796"/>
      <c r="AU293" s="796"/>
    </row>
    <row r="294" spans="1:47" ht="13.5">
      <c r="A294" s="796" t="s">
        <v>2079</v>
      </c>
      <c r="B294" s="796" t="s">
        <v>2225</v>
      </c>
      <c r="C294" s="796" t="s">
        <v>2225</v>
      </c>
      <c r="D294" s="796" t="s">
        <v>2080</v>
      </c>
      <c r="E294" s="796" t="s">
        <v>2224</v>
      </c>
      <c r="F294" s="796" t="s">
        <v>2224</v>
      </c>
      <c r="G294" s="796"/>
      <c r="H294" s="796"/>
      <c r="I294" s="796"/>
      <c r="J294" s="796"/>
      <c r="K294" s="796"/>
      <c r="L294" s="796"/>
      <c r="M294" s="796"/>
      <c r="N294" s="796"/>
      <c r="O294" s="796"/>
      <c r="P294" s="796"/>
      <c r="Q294" s="796"/>
      <c r="R294" s="796"/>
      <c r="S294" s="796"/>
      <c r="T294" s="796"/>
      <c r="U294" s="796"/>
      <c r="V294" s="796"/>
      <c r="W294" s="796"/>
      <c r="X294" s="796"/>
      <c r="Y294" s="796"/>
      <c r="Z294" s="796"/>
      <c r="AA294" s="796"/>
      <c r="AB294" s="796" t="s">
        <v>2081</v>
      </c>
      <c r="AC294" s="796" t="s">
        <v>2222</v>
      </c>
      <c r="AD294" s="796"/>
      <c r="AE294" s="796"/>
      <c r="AF294" s="796"/>
      <c r="AG294" s="796"/>
      <c r="AH294" s="796"/>
      <c r="AI294" s="796"/>
      <c r="AJ294" s="796"/>
      <c r="AK294" s="796"/>
      <c r="AL294" s="796"/>
      <c r="AM294" s="796"/>
      <c r="AN294" s="796"/>
      <c r="AO294" s="796"/>
      <c r="AP294" s="796"/>
      <c r="AQ294" s="796"/>
      <c r="AR294" s="796"/>
      <c r="AS294" s="796"/>
      <c r="AT294" s="796"/>
      <c r="AU294" s="796"/>
    </row>
    <row r="295" spans="1:47" ht="13.5">
      <c r="A295" s="796"/>
      <c r="B295" s="796"/>
      <c r="C295" s="796"/>
      <c r="D295" s="796" t="s">
        <v>2082</v>
      </c>
      <c r="E295" s="796" t="s">
        <v>2221</v>
      </c>
      <c r="F295" s="796" t="s">
        <v>2221</v>
      </c>
      <c r="G295" s="796"/>
      <c r="H295" s="796"/>
      <c r="I295" s="796"/>
      <c r="J295" s="796"/>
      <c r="K295" s="796"/>
      <c r="L295" s="796"/>
      <c r="M295" s="796"/>
      <c r="N295" s="796"/>
      <c r="O295" s="796"/>
      <c r="P295" s="796"/>
      <c r="Q295" s="796"/>
      <c r="R295" s="796"/>
      <c r="S295" s="796"/>
      <c r="T295" s="796"/>
      <c r="U295" s="796"/>
      <c r="V295" s="796"/>
      <c r="W295" s="796"/>
      <c r="X295" s="796"/>
      <c r="Y295" s="796"/>
      <c r="Z295" s="796"/>
      <c r="AA295" s="796"/>
      <c r="AB295" s="796" t="s">
        <v>2083</v>
      </c>
      <c r="AC295" s="796" t="s">
        <v>2223</v>
      </c>
      <c r="AD295" s="796" t="s">
        <v>2223</v>
      </c>
      <c r="AE295" s="796"/>
      <c r="AF295" s="796"/>
      <c r="AG295" s="796"/>
      <c r="AH295" s="796"/>
      <c r="AI295" s="796"/>
      <c r="AJ295" s="796"/>
      <c r="AK295" s="796"/>
      <c r="AL295" s="796"/>
      <c r="AM295" s="796"/>
      <c r="AN295" s="796"/>
      <c r="AO295" s="796"/>
      <c r="AP295" s="796"/>
      <c r="AQ295" s="796"/>
      <c r="AR295" s="796"/>
      <c r="AS295" s="796"/>
      <c r="AT295" s="796"/>
      <c r="AU295" s="796"/>
    </row>
    <row r="296" spans="1:47" ht="13.5">
      <c r="A296" s="796"/>
      <c r="B296" s="796"/>
      <c r="C296" s="796"/>
      <c r="D296" s="796" t="s">
        <v>2084</v>
      </c>
      <c r="E296" s="796" t="s">
        <v>2222</v>
      </c>
      <c r="F296" s="796" t="s">
        <v>2223</v>
      </c>
      <c r="G296" s="796"/>
      <c r="H296" s="796"/>
      <c r="I296" s="796"/>
      <c r="J296" s="796"/>
      <c r="K296" s="796"/>
      <c r="L296" s="796"/>
      <c r="M296" s="796"/>
      <c r="N296" s="796"/>
      <c r="O296" s="796"/>
      <c r="P296" s="796"/>
      <c r="Q296" s="796"/>
      <c r="R296" s="796"/>
      <c r="S296" s="796"/>
      <c r="T296" s="796"/>
      <c r="U296" s="796"/>
      <c r="V296" s="796"/>
      <c r="W296" s="796"/>
      <c r="X296" s="796"/>
      <c r="Y296" s="796"/>
      <c r="Z296" s="796"/>
      <c r="AA296" s="796"/>
      <c r="AB296" s="796" t="s">
        <v>2005</v>
      </c>
      <c r="AC296" s="796" t="s">
        <v>2222</v>
      </c>
      <c r="AD296" s="796" t="s">
        <v>2222</v>
      </c>
      <c r="AE296" s="796"/>
      <c r="AF296" s="796"/>
      <c r="AG296" s="796"/>
      <c r="AH296" s="796"/>
      <c r="AI296" s="796"/>
      <c r="AJ296" s="796"/>
      <c r="AK296" s="796"/>
      <c r="AL296" s="796"/>
      <c r="AM296" s="796"/>
      <c r="AN296" s="796"/>
      <c r="AO296" s="796"/>
      <c r="AP296" s="796"/>
      <c r="AQ296" s="796"/>
      <c r="AR296" s="796"/>
      <c r="AS296" s="796"/>
      <c r="AT296" s="796"/>
      <c r="AU296" s="796"/>
    </row>
    <row r="297" spans="1:47" ht="13.5">
      <c r="A297" s="796"/>
      <c r="B297" s="796"/>
      <c r="C297" s="796"/>
      <c r="D297" s="796" t="s">
        <v>2085</v>
      </c>
      <c r="E297" s="796" t="s">
        <v>2224</v>
      </c>
      <c r="F297" s="796" t="s">
        <v>2224</v>
      </c>
      <c r="G297" s="796"/>
      <c r="H297" s="796"/>
      <c r="I297" s="796"/>
      <c r="J297" s="796"/>
      <c r="K297" s="796"/>
      <c r="L297" s="796"/>
      <c r="M297" s="796"/>
      <c r="N297" s="796"/>
      <c r="O297" s="796"/>
      <c r="P297" s="796"/>
      <c r="Q297" s="796"/>
      <c r="R297" s="796"/>
      <c r="S297" s="796"/>
      <c r="T297" s="796"/>
      <c r="U297" s="796"/>
      <c r="V297" s="796"/>
      <c r="W297" s="796"/>
      <c r="X297" s="796"/>
      <c r="Y297" s="796"/>
      <c r="Z297" s="796"/>
      <c r="AA297" s="796"/>
      <c r="AB297" s="796" t="s">
        <v>2086</v>
      </c>
      <c r="AC297" s="796" t="s">
        <v>2222</v>
      </c>
      <c r="AD297" s="796" t="s">
        <v>2222</v>
      </c>
      <c r="AE297" s="796"/>
      <c r="AF297" s="796"/>
      <c r="AG297" s="796"/>
      <c r="AH297" s="796"/>
      <c r="AI297" s="796"/>
      <c r="AJ297" s="796"/>
      <c r="AK297" s="796"/>
      <c r="AL297" s="796"/>
      <c r="AM297" s="796"/>
      <c r="AN297" s="796"/>
      <c r="AO297" s="796"/>
      <c r="AP297" s="796"/>
      <c r="AQ297" s="796"/>
      <c r="AR297" s="796"/>
      <c r="AS297" s="796"/>
      <c r="AT297" s="796"/>
      <c r="AU297" s="796"/>
    </row>
    <row r="298" spans="1:47" ht="13.5">
      <c r="A298" s="796"/>
      <c r="B298" s="796"/>
      <c r="C298" s="796"/>
      <c r="D298" s="796" t="s">
        <v>2087</v>
      </c>
      <c r="E298" s="796" t="s">
        <v>2221</v>
      </c>
      <c r="F298" s="796" t="s">
        <v>2221</v>
      </c>
      <c r="G298" s="796"/>
      <c r="H298" s="796"/>
      <c r="I298" s="796"/>
      <c r="J298" s="796"/>
      <c r="K298" s="796"/>
      <c r="L298" s="796"/>
      <c r="M298" s="796"/>
      <c r="N298" s="796"/>
      <c r="O298" s="796"/>
      <c r="P298" s="796"/>
      <c r="Q298" s="796"/>
      <c r="R298" s="796"/>
      <c r="S298" s="796"/>
      <c r="T298" s="796"/>
      <c r="U298" s="796"/>
      <c r="V298" s="796"/>
      <c r="W298" s="796"/>
      <c r="X298" s="796"/>
      <c r="Y298" s="796"/>
      <c r="Z298" s="796"/>
      <c r="AA298" s="796"/>
      <c r="AB298" s="796" t="s">
        <v>2088</v>
      </c>
      <c r="AC298" s="796" t="s">
        <v>2225</v>
      </c>
      <c r="AD298" s="796" t="s">
        <v>2224</v>
      </c>
      <c r="AE298" s="796"/>
      <c r="AF298" s="796"/>
      <c r="AG298" s="796"/>
      <c r="AH298" s="796"/>
      <c r="AI298" s="796"/>
      <c r="AJ298" s="796"/>
      <c r="AK298" s="796"/>
      <c r="AL298" s="796"/>
      <c r="AM298" s="796"/>
      <c r="AN298" s="796"/>
      <c r="AO298" s="796"/>
      <c r="AP298" s="796"/>
      <c r="AQ298" s="796"/>
      <c r="AR298" s="796"/>
      <c r="AS298" s="796"/>
      <c r="AT298" s="796"/>
      <c r="AU298" s="796"/>
    </row>
    <row r="299" spans="1:47" ht="13.5">
      <c r="A299" s="796"/>
      <c r="B299" s="796"/>
      <c r="C299" s="796"/>
      <c r="D299" s="796" t="s">
        <v>2089</v>
      </c>
      <c r="E299" s="796" t="s">
        <v>2226</v>
      </c>
      <c r="F299" s="796" t="s">
        <v>2225</v>
      </c>
      <c r="G299" s="796"/>
      <c r="H299" s="796"/>
      <c r="I299" s="796"/>
      <c r="J299" s="796"/>
      <c r="K299" s="796"/>
      <c r="L299" s="796"/>
      <c r="M299" s="796"/>
      <c r="N299" s="796"/>
      <c r="O299" s="796"/>
      <c r="P299" s="796"/>
      <c r="Q299" s="796"/>
      <c r="R299" s="796"/>
      <c r="S299" s="796"/>
      <c r="T299" s="796"/>
      <c r="U299" s="796"/>
      <c r="V299" s="796"/>
      <c r="W299" s="796"/>
      <c r="X299" s="796"/>
      <c r="Y299" s="796"/>
      <c r="Z299" s="796"/>
      <c r="AA299" s="796"/>
      <c r="AB299" s="796" t="s">
        <v>2090</v>
      </c>
      <c r="AC299" s="796" t="s">
        <v>2223</v>
      </c>
      <c r="AD299" s="796" t="s">
        <v>2223</v>
      </c>
      <c r="AE299" s="796"/>
      <c r="AF299" s="796"/>
      <c r="AG299" s="796"/>
      <c r="AH299" s="796"/>
      <c r="AI299" s="796"/>
      <c r="AJ299" s="796"/>
      <c r="AK299" s="796"/>
      <c r="AL299" s="796"/>
      <c r="AM299" s="796"/>
      <c r="AN299" s="796"/>
      <c r="AO299" s="796"/>
      <c r="AP299" s="796"/>
      <c r="AQ299" s="796"/>
      <c r="AR299" s="796"/>
      <c r="AS299" s="796"/>
      <c r="AT299" s="796"/>
      <c r="AU299" s="796"/>
    </row>
    <row r="300" spans="1:47" ht="13.5">
      <c r="A300" s="796"/>
      <c r="B300" s="796"/>
      <c r="C300" s="796"/>
      <c r="D300" s="796" t="s">
        <v>2091</v>
      </c>
      <c r="E300" s="796" t="s">
        <v>2222</v>
      </c>
      <c r="F300" s="796" t="s">
        <v>2222</v>
      </c>
      <c r="G300" s="796"/>
      <c r="H300" s="796"/>
      <c r="I300" s="796"/>
      <c r="J300" s="796"/>
      <c r="K300" s="796"/>
      <c r="L300" s="796"/>
      <c r="M300" s="796"/>
      <c r="N300" s="796"/>
      <c r="O300" s="796"/>
      <c r="P300" s="796"/>
      <c r="Q300" s="796"/>
      <c r="R300" s="796"/>
      <c r="S300" s="796"/>
      <c r="T300" s="796"/>
      <c r="U300" s="796"/>
      <c r="V300" s="796"/>
      <c r="W300" s="796"/>
      <c r="X300" s="796"/>
      <c r="Y300" s="796"/>
      <c r="Z300" s="796"/>
      <c r="AA300" s="796"/>
      <c r="AB300" s="796" t="s">
        <v>2092</v>
      </c>
      <c r="AC300" s="796" t="s">
        <v>2222</v>
      </c>
      <c r="AD300" s="796" t="s">
        <v>2223</v>
      </c>
      <c r="AE300" s="796"/>
      <c r="AF300" s="796"/>
      <c r="AG300" s="796"/>
      <c r="AH300" s="796"/>
      <c r="AI300" s="796"/>
      <c r="AJ300" s="796"/>
      <c r="AK300" s="796"/>
      <c r="AL300" s="796"/>
      <c r="AM300" s="796"/>
      <c r="AN300" s="796"/>
      <c r="AO300" s="796"/>
      <c r="AP300" s="796"/>
      <c r="AQ300" s="796"/>
      <c r="AR300" s="796"/>
      <c r="AS300" s="796"/>
      <c r="AT300" s="796"/>
      <c r="AU300" s="796"/>
    </row>
    <row r="301" spans="1:47" ht="13.5">
      <c r="A301" s="796"/>
      <c r="B301" s="796"/>
      <c r="C301" s="796"/>
      <c r="D301" s="796" t="s">
        <v>2093</v>
      </c>
      <c r="E301" s="796" t="s">
        <v>2224</v>
      </c>
      <c r="F301" s="796" t="s">
        <v>2224</v>
      </c>
      <c r="G301" s="796"/>
      <c r="H301" s="796"/>
      <c r="I301" s="796"/>
      <c r="J301" s="796"/>
      <c r="K301" s="796"/>
      <c r="L301" s="796"/>
      <c r="M301" s="796"/>
      <c r="N301" s="796"/>
      <c r="O301" s="796"/>
      <c r="P301" s="796"/>
      <c r="Q301" s="796"/>
      <c r="R301" s="796"/>
      <c r="S301" s="796"/>
      <c r="T301" s="796"/>
      <c r="U301" s="796"/>
      <c r="V301" s="796"/>
      <c r="W301" s="796"/>
      <c r="X301" s="796"/>
      <c r="Y301" s="796"/>
      <c r="Z301" s="796"/>
      <c r="AA301" s="796"/>
      <c r="AB301" s="796" t="s">
        <v>2094</v>
      </c>
      <c r="AC301" s="796" t="s">
        <v>2222</v>
      </c>
      <c r="AD301" s="796" t="s">
        <v>2222</v>
      </c>
      <c r="AE301" s="796"/>
      <c r="AF301" s="796"/>
      <c r="AG301" s="796"/>
      <c r="AH301" s="796"/>
      <c r="AI301" s="796"/>
      <c r="AJ301" s="796"/>
      <c r="AK301" s="796"/>
      <c r="AL301" s="796"/>
      <c r="AM301" s="796"/>
      <c r="AN301" s="796"/>
      <c r="AO301" s="796"/>
      <c r="AP301" s="796"/>
      <c r="AQ301" s="796"/>
      <c r="AR301" s="796"/>
      <c r="AS301" s="796"/>
      <c r="AT301" s="796"/>
      <c r="AU301" s="796"/>
    </row>
    <row r="302" spans="1:47" ht="13.5">
      <c r="A302" s="796"/>
      <c r="B302" s="796"/>
      <c r="C302" s="796"/>
      <c r="D302" s="796" t="s">
        <v>2095</v>
      </c>
      <c r="E302" s="796" t="s">
        <v>2222</v>
      </c>
      <c r="F302" s="796" t="s">
        <v>2222</v>
      </c>
      <c r="G302" s="796"/>
      <c r="H302" s="796"/>
      <c r="I302" s="796"/>
      <c r="J302" s="796"/>
      <c r="K302" s="796"/>
      <c r="L302" s="796"/>
      <c r="M302" s="796"/>
      <c r="N302" s="796"/>
      <c r="O302" s="796"/>
      <c r="P302" s="796"/>
      <c r="Q302" s="796"/>
      <c r="R302" s="796"/>
      <c r="S302" s="796"/>
      <c r="T302" s="796"/>
      <c r="U302" s="796"/>
      <c r="V302" s="796"/>
      <c r="W302" s="796"/>
      <c r="X302" s="796"/>
      <c r="Y302" s="796"/>
      <c r="Z302" s="796"/>
      <c r="AA302" s="796"/>
      <c r="AB302" s="796" t="s">
        <v>2096</v>
      </c>
      <c r="AC302" s="796" t="s">
        <v>2224</v>
      </c>
      <c r="AD302" s="796" t="s">
        <v>2224</v>
      </c>
      <c r="AE302" s="796"/>
      <c r="AF302" s="796"/>
      <c r="AG302" s="796"/>
      <c r="AH302" s="796"/>
      <c r="AI302" s="796"/>
      <c r="AJ302" s="796"/>
      <c r="AK302" s="796"/>
      <c r="AL302" s="796"/>
      <c r="AM302" s="796"/>
      <c r="AN302" s="796"/>
      <c r="AO302" s="796"/>
      <c r="AP302" s="796"/>
      <c r="AQ302" s="796"/>
      <c r="AR302" s="796"/>
      <c r="AS302" s="796"/>
      <c r="AT302" s="796"/>
      <c r="AU302" s="796"/>
    </row>
    <row r="303" spans="1:47" ht="13.5">
      <c r="A303" s="796"/>
      <c r="B303" s="796"/>
      <c r="C303" s="796"/>
      <c r="D303" s="796"/>
      <c r="E303" s="796"/>
      <c r="F303" s="796"/>
      <c r="G303" s="796"/>
      <c r="H303" s="796"/>
      <c r="I303" s="796"/>
      <c r="J303" s="796"/>
      <c r="K303" s="796"/>
      <c r="L303" s="796"/>
      <c r="M303" s="796"/>
      <c r="N303" s="796"/>
      <c r="O303" s="796"/>
      <c r="P303" s="796"/>
      <c r="Q303" s="796"/>
      <c r="R303" s="796"/>
      <c r="S303" s="796"/>
      <c r="T303" s="796"/>
      <c r="U303" s="796"/>
      <c r="V303" s="796"/>
      <c r="W303" s="796"/>
      <c r="X303" s="796"/>
      <c r="Y303" s="796"/>
      <c r="Z303" s="796"/>
      <c r="AA303" s="796"/>
      <c r="AB303" s="796" t="s">
        <v>2097</v>
      </c>
      <c r="AC303" s="796" t="s">
        <v>2221</v>
      </c>
      <c r="AD303" s="796" t="s">
        <v>2221</v>
      </c>
      <c r="AE303" s="796"/>
      <c r="AF303" s="796"/>
      <c r="AG303" s="796"/>
      <c r="AH303" s="796"/>
      <c r="AI303" s="796"/>
      <c r="AJ303" s="796"/>
      <c r="AK303" s="796"/>
      <c r="AL303" s="796"/>
      <c r="AM303" s="796"/>
      <c r="AN303" s="796"/>
      <c r="AO303" s="796"/>
      <c r="AP303" s="796"/>
      <c r="AQ303" s="796"/>
      <c r="AR303" s="796"/>
      <c r="AS303" s="796"/>
      <c r="AT303" s="796"/>
      <c r="AU303" s="796"/>
    </row>
    <row r="304" spans="1:47" ht="13.5">
      <c r="A304" s="796"/>
      <c r="B304" s="796"/>
      <c r="C304" s="796"/>
      <c r="D304" s="796"/>
      <c r="E304" s="796"/>
      <c r="F304" s="796"/>
      <c r="G304" s="796"/>
      <c r="H304" s="796"/>
      <c r="I304" s="796"/>
      <c r="J304" s="796"/>
      <c r="K304" s="796"/>
      <c r="L304" s="796"/>
      <c r="M304" s="796"/>
      <c r="N304" s="796"/>
      <c r="O304" s="796"/>
      <c r="P304" s="796"/>
      <c r="Q304" s="796"/>
      <c r="R304" s="796"/>
      <c r="S304" s="796"/>
      <c r="T304" s="796"/>
      <c r="U304" s="796"/>
      <c r="V304" s="796"/>
      <c r="W304" s="796"/>
      <c r="X304" s="796"/>
      <c r="Y304" s="796"/>
      <c r="Z304" s="796"/>
      <c r="AA304" s="796"/>
      <c r="AB304" s="796" t="s">
        <v>2098</v>
      </c>
      <c r="AC304" s="796" t="s">
        <v>2223</v>
      </c>
      <c r="AD304" s="796" t="s">
        <v>2223</v>
      </c>
      <c r="AE304" s="796"/>
      <c r="AF304" s="796"/>
      <c r="AG304" s="796"/>
      <c r="AH304" s="796"/>
      <c r="AI304" s="796"/>
      <c r="AJ304" s="796"/>
      <c r="AK304" s="796"/>
      <c r="AL304" s="796"/>
      <c r="AM304" s="796"/>
      <c r="AN304" s="796"/>
      <c r="AO304" s="796"/>
      <c r="AP304" s="796"/>
      <c r="AQ304" s="796"/>
      <c r="AR304" s="796"/>
      <c r="AS304" s="796"/>
      <c r="AT304" s="796"/>
      <c r="AU304" s="796"/>
    </row>
    <row r="305" spans="1:47" ht="13.5">
      <c r="A305" s="796"/>
      <c r="B305" s="796"/>
      <c r="C305" s="796"/>
      <c r="D305" s="796"/>
      <c r="E305" s="796"/>
      <c r="F305" s="796"/>
      <c r="G305" s="796"/>
      <c r="H305" s="796"/>
      <c r="I305" s="796"/>
      <c r="J305" s="796"/>
      <c r="K305" s="796"/>
      <c r="L305" s="796"/>
      <c r="M305" s="796"/>
      <c r="N305" s="796"/>
      <c r="O305" s="796"/>
      <c r="P305" s="796"/>
      <c r="Q305" s="796"/>
      <c r="R305" s="796"/>
      <c r="S305" s="796"/>
      <c r="T305" s="796"/>
      <c r="U305" s="796"/>
      <c r="V305" s="796"/>
      <c r="W305" s="796"/>
      <c r="X305" s="796"/>
      <c r="Y305" s="796"/>
      <c r="Z305" s="796"/>
      <c r="AA305" s="796"/>
      <c r="AB305" s="796" t="s">
        <v>2099</v>
      </c>
      <c r="AC305" s="796" t="s">
        <v>2222</v>
      </c>
      <c r="AD305" s="796" t="s">
        <v>2222</v>
      </c>
      <c r="AE305" s="796"/>
      <c r="AF305" s="796"/>
      <c r="AG305" s="796"/>
      <c r="AH305" s="796"/>
      <c r="AI305" s="796"/>
      <c r="AJ305" s="796"/>
      <c r="AK305" s="796"/>
      <c r="AL305" s="796"/>
      <c r="AM305" s="796"/>
      <c r="AN305" s="796"/>
      <c r="AO305" s="796"/>
      <c r="AP305" s="796"/>
      <c r="AQ305" s="796"/>
      <c r="AR305" s="796"/>
      <c r="AS305" s="796"/>
      <c r="AT305" s="796"/>
      <c r="AU305" s="796"/>
    </row>
    <row r="306" spans="1:47" ht="13.5">
      <c r="A306" s="796"/>
      <c r="B306" s="796"/>
      <c r="C306" s="796"/>
      <c r="D306" s="796"/>
      <c r="E306" s="796"/>
      <c r="F306" s="796"/>
      <c r="G306" s="796"/>
      <c r="H306" s="796"/>
      <c r="I306" s="796"/>
      <c r="J306" s="796"/>
      <c r="K306" s="796"/>
      <c r="L306" s="796"/>
      <c r="M306" s="796"/>
      <c r="N306" s="796"/>
      <c r="O306" s="796"/>
      <c r="P306" s="796"/>
      <c r="Q306" s="796"/>
      <c r="R306" s="796"/>
      <c r="S306" s="796"/>
      <c r="T306" s="796"/>
      <c r="U306" s="796"/>
      <c r="V306" s="796"/>
      <c r="W306" s="796"/>
      <c r="X306" s="796"/>
      <c r="Y306" s="796"/>
      <c r="Z306" s="796"/>
      <c r="AA306" s="796"/>
      <c r="AB306" s="796" t="s">
        <v>2100</v>
      </c>
      <c r="AC306" s="796" t="s">
        <v>2222</v>
      </c>
      <c r="AD306" s="796" t="s">
        <v>2222</v>
      </c>
      <c r="AE306" s="796"/>
      <c r="AF306" s="796"/>
      <c r="AG306" s="796"/>
      <c r="AH306" s="796"/>
      <c r="AI306" s="796"/>
      <c r="AJ306" s="796"/>
      <c r="AK306" s="796"/>
      <c r="AL306" s="796"/>
      <c r="AM306" s="796"/>
      <c r="AN306" s="796"/>
      <c r="AO306" s="796"/>
      <c r="AP306" s="796"/>
      <c r="AQ306" s="796"/>
      <c r="AR306" s="796"/>
      <c r="AS306" s="796"/>
      <c r="AT306" s="796"/>
      <c r="AU306" s="796"/>
    </row>
    <row r="307" spans="1:47" ht="13.5">
      <c r="A307" s="796"/>
      <c r="B307" s="796"/>
      <c r="C307" s="796"/>
      <c r="D307" s="796"/>
      <c r="E307" s="796"/>
      <c r="F307" s="796"/>
      <c r="G307" s="796"/>
      <c r="H307" s="796"/>
      <c r="I307" s="796"/>
      <c r="J307" s="796"/>
      <c r="K307" s="796"/>
      <c r="L307" s="796"/>
      <c r="M307" s="796"/>
      <c r="N307" s="796"/>
      <c r="O307" s="796"/>
      <c r="P307" s="796"/>
      <c r="Q307" s="796"/>
      <c r="R307" s="796"/>
      <c r="S307" s="796"/>
      <c r="T307" s="796"/>
      <c r="U307" s="796"/>
      <c r="V307" s="796"/>
      <c r="W307" s="796"/>
      <c r="X307" s="796"/>
      <c r="Y307" s="796"/>
      <c r="Z307" s="796"/>
      <c r="AA307" s="796"/>
      <c r="AB307" s="796" t="s">
        <v>2101</v>
      </c>
      <c r="AC307" s="796" t="s">
        <v>2222</v>
      </c>
      <c r="AD307" s="796" t="s">
        <v>2222</v>
      </c>
      <c r="AE307" s="796"/>
      <c r="AF307" s="796"/>
      <c r="AG307" s="796"/>
      <c r="AH307" s="796"/>
      <c r="AI307" s="796"/>
      <c r="AJ307" s="796"/>
      <c r="AK307" s="796"/>
      <c r="AL307" s="796"/>
      <c r="AM307" s="796"/>
      <c r="AN307" s="796"/>
      <c r="AO307" s="796"/>
      <c r="AP307" s="796"/>
      <c r="AQ307" s="796"/>
      <c r="AR307" s="796"/>
      <c r="AS307" s="796"/>
      <c r="AT307" s="796"/>
      <c r="AU307" s="796"/>
    </row>
    <row r="308" spans="1:47" ht="13.5">
      <c r="A308" s="796"/>
      <c r="B308" s="796"/>
      <c r="C308" s="796"/>
      <c r="D308" s="796"/>
      <c r="E308" s="796"/>
      <c r="F308" s="796"/>
      <c r="G308" s="796"/>
      <c r="H308" s="796"/>
      <c r="I308" s="796"/>
      <c r="J308" s="796"/>
      <c r="K308" s="796"/>
      <c r="L308" s="796"/>
      <c r="M308" s="796"/>
      <c r="N308" s="796"/>
      <c r="O308" s="796"/>
      <c r="P308" s="796"/>
      <c r="Q308" s="796"/>
      <c r="R308" s="796"/>
      <c r="S308" s="796"/>
      <c r="T308" s="796"/>
      <c r="U308" s="796"/>
      <c r="V308" s="796"/>
      <c r="W308" s="796"/>
      <c r="X308" s="796"/>
      <c r="Y308" s="796"/>
      <c r="Z308" s="796"/>
      <c r="AA308" s="796"/>
      <c r="AB308" s="796" t="s">
        <v>2102</v>
      </c>
      <c r="AC308" s="796" t="s">
        <v>2221</v>
      </c>
      <c r="AD308" s="796" t="s">
        <v>2221</v>
      </c>
      <c r="AE308" s="796"/>
      <c r="AF308" s="796"/>
      <c r="AG308" s="796"/>
      <c r="AH308" s="796"/>
      <c r="AI308" s="796"/>
      <c r="AJ308" s="796"/>
      <c r="AK308" s="796"/>
      <c r="AL308" s="796"/>
      <c r="AM308" s="796"/>
      <c r="AN308" s="796"/>
      <c r="AO308" s="796"/>
      <c r="AP308" s="796"/>
      <c r="AQ308" s="796"/>
      <c r="AR308" s="796"/>
      <c r="AS308" s="796"/>
      <c r="AT308" s="796"/>
      <c r="AU308" s="796"/>
    </row>
    <row r="309" spans="1:47" ht="13.5">
      <c r="A309" s="796"/>
      <c r="B309" s="796"/>
      <c r="C309" s="796"/>
      <c r="D309" s="796"/>
      <c r="E309" s="796"/>
      <c r="F309" s="796"/>
      <c r="G309" s="796"/>
      <c r="H309" s="796"/>
      <c r="I309" s="796"/>
      <c r="J309" s="796"/>
      <c r="K309" s="796"/>
      <c r="L309" s="796"/>
      <c r="M309" s="796"/>
      <c r="N309" s="796"/>
      <c r="O309" s="796"/>
      <c r="P309" s="796"/>
      <c r="Q309" s="796"/>
      <c r="R309" s="796"/>
      <c r="S309" s="796"/>
      <c r="T309" s="796"/>
      <c r="U309" s="796"/>
      <c r="V309" s="796"/>
      <c r="W309" s="796"/>
      <c r="X309" s="796"/>
      <c r="Y309" s="796"/>
      <c r="Z309" s="796"/>
      <c r="AA309" s="796"/>
      <c r="AB309" s="796" t="s">
        <v>2103</v>
      </c>
      <c r="AC309" s="796" t="s">
        <v>2221</v>
      </c>
      <c r="AD309" s="796" t="s">
        <v>2221</v>
      </c>
      <c r="AE309" s="796"/>
      <c r="AF309" s="796"/>
      <c r="AG309" s="796"/>
      <c r="AH309" s="796"/>
      <c r="AI309" s="796"/>
      <c r="AJ309" s="796"/>
      <c r="AK309" s="796"/>
      <c r="AL309" s="796"/>
      <c r="AM309" s="796"/>
      <c r="AN309" s="796"/>
      <c r="AO309" s="796"/>
      <c r="AP309" s="796"/>
      <c r="AQ309" s="796"/>
      <c r="AR309" s="796"/>
      <c r="AS309" s="796"/>
      <c r="AT309" s="796"/>
      <c r="AU309" s="796"/>
    </row>
    <row r="310" spans="1:47" ht="13.5">
      <c r="A310" s="796"/>
      <c r="B310" s="796"/>
      <c r="C310" s="796"/>
      <c r="D310" s="796"/>
      <c r="E310" s="796"/>
      <c r="F310" s="796"/>
      <c r="G310" s="796"/>
      <c r="H310" s="796"/>
      <c r="I310" s="796"/>
      <c r="J310" s="796"/>
      <c r="K310" s="796"/>
      <c r="L310" s="796"/>
      <c r="M310" s="796"/>
      <c r="N310" s="796"/>
      <c r="O310" s="796"/>
      <c r="P310" s="796"/>
      <c r="Q310" s="796"/>
      <c r="R310" s="796"/>
      <c r="S310" s="796"/>
      <c r="T310" s="796"/>
      <c r="U310" s="796"/>
      <c r="V310" s="796"/>
      <c r="W310" s="796"/>
      <c r="X310" s="796"/>
      <c r="Y310" s="796"/>
      <c r="Z310" s="796"/>
      <c r="AA310" s="796"/>
      <c r="AB310" s="796" t="s">
        <v>2104</v>
      </c>
      <c r="AC310" s="796" t="s">
        <v>2223</v>
      </c>
      <c r="AD310" s="796" t="s">
        <v>2223</v>
      </c>
      <c r="AE310" s="796"/>
      <c r="AF310" s="796"/>
      <c r="AG310" s="796"/>
      <c r="AH310" s="796"/>
      <c r="AI310" s="796"/>
      <c r="AJ310" s="796"/>
      <c r="AK310" s="796"/>
      <c r="AL310" s="796"/>
      <c r="AM310" s="796"/>
      <c r="AN310" s="796"/>
      <c r="AO310" s="796"/>
      <c r="AP310" s="796"/>
      <c r="AQ310" s="796"/>
      <c r="AR310" s="796"/>
      <c r="AS310" s="796"/>
      <c r="AT310" s="796"/>
      <c r="AU310" s="796"/>
    </row>
    <row r="311" spans="1:47" ht="13.5">
      <c r="A311" s="796"/>
      <c r="B311" s="796"/>
      <c r="C311" s="796"/>
      <c r="D311" s="796"/>
      <c r="E311" s="796"/>
      <c r="F311" s="796"/>
      <c r="G311" s="796"/>
      <c r="H311" s="796"/>
      <c r="I311" s="796"/>
      <c r="J311" s="796"/>
      <c r="K311" s="796"/>
      <c r="L311" s="796"/>
      <c r="M311" s="796"/>
      <c r="N311" s="796"/>
      <c r="O311" s="796"/>
      <c r="P311" s="796"/>
      <c r="Q311" s="796"/>
      <c r="R311" s="796"/>
      <c r="S311" s="796"/>
      <c r="T311" s="796"/>
      <c r="U311" s="796"/>
      <c r="V311" s="796"/>
      <c r="W311" s="796"/>
      <c r="X311" s="796"/>
      <c r="Y311" s="796"/>
      <c r="Z311" s="796"/>
      <c r="AA311" s="796"/>
      <c r="AB311" s="796" t="s">
        <v>2105</v>
      </c>
      <c r="AC311" s="796" t="s">
        <v>2222</v>
      </c>
      <c r="AD311" s="796" t="s">
        <v>2223</v>
      </c>
      <c r="AE311" s="796"/>
      <c r="AF311" s="796"/>
      <c r="AG311" s="796"/>
      <c r="AH311" s="796"/>
      <c r="AI311" s="796"/>
      <c r="AJ311" s="796"/>
      <c r="AK311" s="796"/>
      <c r="AL311" s="796"/>
      <c r="AM311" s="796"/>
      <c r="AN311" s="796"/>
      <c r="AO311" s="796"/>
      <c r="AP311" s="796"/>
      <c r="AQ311" s="796"/>
      <c r="AR311" s="796"/>
      <c r="AS311" s="796"/>
      <c r="AT311" s="796"/>
      <c r="AU311" s="796"/>
    </row>
    <row r="312" spans="1:47" ht="13.5">
      <c r="A312" s="796"/>
      <c r="B312" s="796"/>
      <c r="C312" s="796"/>
      <c r="D312" s="796"/>
      <c r="E312" s="796"/>
      <c r="F312" s="796"/>
      <c r="G312" s="796"/>
      <c r="H312" s="796"/>
      <c r="I312" s="796"/>
      <c r="J312" s="796"/>
      <c r="K312" s="796"/>
      <c r="L312" s="796"/>
      <c r="M312" s="796"/>
      <c r="N312" s="796"/>
      <c r="O312" s="796"/>
      <c r="P312" s="796"/>
      <c r="Q312" s="796"/>
      <c r="R312" s="796"/>
      <c r="S312" s="796"/>
      <c r="T312" s="796"/>
      <c r="U312" s="796"/>
      <c r="V312" s="796"/>
      <c r="W312" s="796"/>
      <c r="X312" s="796"/>
      <c r="Y312" s="796"/>
      <c r="Z312" s="796"/>
      <c r="AA312" s="796"/>
      <c r="AB312" s="796" t="s">
        <v>2106</v>
      </c>
      <c r="AC312" s="796" t="s">
        <v>2221</v>
      </c>
      <c r="AD312" s="796" t="s">
        <v>2221</v>
      </c>
      <c r="AE312" s="796"/>
      <c r="AF312" s="796"/>
      <c r="AG312" s="796"/>
      <c r="AH312" s="796"/>
      <c r="AI312" s="796"/>
      <c r="AJ312" s="796"/>
      <c r="AK312" s="796"/>
      <c r="AL312" s="796"/>
      <c r="AM312" s="796"/>
      <c r="AN312" s="796"/>
      <c r="AO312" s="796"/>
      <c r="AP312" s="796"/>
      <c r="AQ312" s="796"/>
      <c r="AR312" s="796"/>
      <c r="AS312" s="796"/>
      <c r="AT312" s="796"/>
      <c r="AU312" s="796"/>
    </row>
    <row r="313" spans="1:47" ht="13.5">
      <c r="A313" s="796"/>
      <c r="B313" s="796"/>
      <c r="C313" s="796"/>
      <c r="D313" s="796"/>
      <c r="E313" s="796"/>
      <c r="F313" s="796"/>
      <c r="G313" s="796"/>
      <c r="H313" s="796"/>
      <c r="I313" s="796"/>
      <c r="J313" s="796"/>
      <c r="K313" s="796"/>
      <c r="L313" s="796"/>
      <c r="M313" s="796"/>
      <c r="N313" s="796"/>
      <c r="O313" s="796"/>
      <c r="P313" s="796"/>
      <c r="Q313" s="796"/>
      <c r="R313" s="796"/>
      <c r="S313" s="796"/>
      <c r="T313" s="796"/>
      <c r="U313" s="796"/>
      <c r="V313" s="796"/>
      <c r="W313" s="796"/>
      <c r="X313" s="796"/>
      <c r="Y313" s="796"/>
      <c r="Z313" s="796"/>
      <c r="AA313" s="796"/>
      <c r="AB313" s="796" t="s">
        <v>2107</v>
      </c>
      <c r="AC313" s="796" t="s">
        <v>2223</v>
      </c>
      <c r="AD313" s="796" t="s">
        <v>2224</v>
      </c>
      <c r="AE313" s="796"/>
      <c r="AF313" s="796"/>
      <c r="AG313" s="796"/>
      <c r="AH313" s="796"/>
      <c r="AI313" s="796"/>
      <c r="AJ313" s="796"/>
      <c r="AK313" s="796"/>
      <c r="AL313" s="796"/>
      <c r="AM313" s="796"/>
      <c r="AN313" s="796"/>
      <c r="AO313" s="796"/>
      <c r="AP313" s="796"/>
      <c r="AQ313" s="796"/>
      <c r="AR313" s="796"/>
      <c r="AS313" s="796"/>
      <c r="AT313" s="796"/>
      <c r="AU313" s="796"/>
    </row>
    <row r="314" spans="1:47" ht="13.5">
      <c r="A314" s="796"/>
      <c r="B314" s="796"/>
      <c r="C314" s="796"/>
      <c r="D314" s="796"/>
      <c r="E314" s="796"/>
      <c r="F314" s="796"/>
      <c r="G314" s="796"/>
      <c r="H314" s="796"/>
      <c r="I314" s="796"/>
      <c r="J314" s="796"/>
      <c r="K314" s="796"/>
      <c r="L314" s="796"/>
      <c r="M314" s="796"/>
      <c r="N314" s="796"/>
      <c r="O314" s="796"/>
      <c r="P314" s="796"/>
      <c r="Q314" s="796"/>
      <c r="R314" s="796"/>
      <c r="S314" s="796"/>
      <c r="T314" s="796"/>
      <c r="U314" s="796"/>
      <c r="V314" s="796"/>
      <c r="W314" s="796"/>
      <c r="X314" s="796"/>
      <c r="Y314" s="796"/>
      <c r="Z314" s="796"/>
      <c r="AA314" s="796"/>
      <c r="AB314" s="796" t="s">
        <v>2108</v>
      </c>
      <c r="AC314" s="796" t="s">
        <v>2223</v>
      </c>
      <c r="AD314" s="796" t="s">
        <v>2223</v>
      </c>
      <c r="AE314" s="796"/>
      <c r="AF314" s="796"/>
      <c r="AG314" s="796"/>
      <c r="AH314" s="796"/>
      <c r="AI314" s="796"/>
      <c r="AJ314" s="796"/>
      <c r="AK314" s="796"/>
      <c r="AL314" s="796"/>
      <c r="AM314" s="796"/>
      <c r="AN314" s="796"/>
      <c r="AO314" s="796"/>
      <c r="AP314" s="796"/>
      <c r="AQ314" s="796"/>
      <c r="AR314" s="796"/>
      <c r="AS314" s="796"/>
      <c r="AT314" s="796"/>
      <c r="AU314" s="796"/>
    </row>
    <row r="315" spans="1:47" ht="13.5">
      <c r="A315" s="796"/>
      <c r="B315" s="796"/>
      <c r="C315" s="796"/>
      <c r="D315" s="796"/>
      <c r="E315" s="796"/>
      <c r="F315" s="796"/>
      <c r="G315" s="796"/>
      <c r="H315" s="796"/>
      <c r="I315" s="796"/>
      <c r="J315" s="796"/>
      <c r="K315" s="796"/>
      <c r="L315" s="796"/>
      <c r="M315" s="796"/>
      <c r="N315" s="796"/>
      <c r="O315" s="796"/>
      <c r="P315" s="796"/>
      <c r="Q315" s="796"/>
      <c r="R315" s="796"/>
      <c r="S315" s="796"/>
      <c r="T315" s="796"/>
      <c r="U315" s="796"/>
      <c r="V315" s="796"/>
      <c r="W315" s="796"/>
      <c r="X315" s="796"/>
      <c r="Y315" s="796"/>
      <c r="Z315" s="796"/>
      <c r="AA315" s="796"/>
      <c r="AB315" s="796" t="s">
        <v>2109</v>
      </c>
      <c r="AC315" s="796" t="s">
        <v>2223</v>
      </c>
      <c r="AD315" s="796" t="s">
        <v>2224</v>
      </c>
      <c r="AE315" s="796"/>
      <c r="AF315" s="796"/>
      <c r="AG315" s="796"/>
      <c r="AH315" s="796"/>
      <c r="AI315" s="796"/>
      <c r="AJ315" s="796"/>
      <c r="AK315" s="796"/>
      <c r="AL315" s="796"/>
      <c r="AM315" s="796"/>
      <c r="AN315" s="796"/>
      <c r="AO315" s="796"/>
      <c r="AP315" s="796"/>
      <c r="AQ315" s="796"/>
      <c r="AR315" s="796"/>
      <c r="AS315" s="796"/>
      <c r="AT315" s="796"/>
      <c r="AU315" s="796"/>
    </row>
    <row r="316" spans="1:47" ht="13.5">
      <c r="A316" s="796"/>
      <c r="B316" s="796"/>
      <c r="C316" s="796"/>
      <c r="D316" s="796"/>
      <c r="E316" s="796"/>
      <c r="F316" s="796"/>
      <c r="G316" s="796"/>
      <c r="H316" s="796"/>
      <c r="I316" s="796"/>
      <c r="J316" s="796"/>
      <c r="K316" s="796"/>
      <c r="L316" s="796"/>
      <c r="M316" s="796"/>
      <c r="N316" s="796"/>
      <c r="O316" s="796"/>
      <c r="P316" s="796"/>
      <c r="Q316" s="796"/>
      <c r="R316" s="796"/>
      <c r="S316" s="796"/>
      <c r="T316" s="796"/>
      <c r="U316" s="796"/>
      <c r="V316" s="796"/>
      <c r="W316" s="796"/>
      <c r="X316" s="796"/>
      <c r="Y316" s="796"/>
      <c r="Z316" s="796"/>
      <c r="AA316" s="796"/>
      <c r="AB316" s="796" t="s">
        <v>2110</v>
      </c>
      <c r="AC316" s="796" t="s">
        <v>2224</v>
      </c>
      <c r="AD316" s="796" t="s">
        <v>2224</v>
      </c>
      <c r="AE316" s="796"/>
      <c r="AF316" s="796"/>
      <c r="AG316" s="796"/>
      <c r="AH316" s="796"/>
      <c r="AI316" s="796"/>
      <c r="AJ316" s="796"/>
      <c r="AK316" s="796"/>
      <c r="AL316" s="796"/>
      <c r="AM316" s="796"/>
      <c r="AN316" s="796"/>
      <c r="AO316" s="796"/>
      <c r="AP316" s="796"/>
      <c r="AQ316" s="796"/>
      <c r="AR316" s="796"/>
      <c r="AS316" s="796"/>
      <c r="AT316" s="796"/>
      <c r="AU316" s="796"/>
    </row>
    <row r="317" spans="1:47" ht="13.5">
      <c r="A317" s="796"/>
      <c r="B317" s="796"/>
      <c r="C317" s="796"/>
      <c r="D317" s="796"/>
      <c r="E317" s="796"/>
      <c r="F317" s="796"/>
      <c r="G317" s="796"/>
      <c r="H317" s="796"/>
      <c r="I317" s="796"/>
      <c r="J317" s="796"/>
      <c r="K317" s="796"/>
      <c r="L317" s="796"/>
      <c r="M317" s="796"/>
      <c r="N317" s="796"/>
      <c r="O317" s="796"/>
      <c r="P317" s="796"/>
      <c r="Q317" s="796"/>
      <c r="R317" s="796"/>
      <c r="S317" s="796"/>
      <c r="T317" s="796"/>
      <c r="U317" s="796"/>
      <c r="V317" s="796"/>
      <c r="W317" s="796"/>
      <c r="X317" s="796"/>
      <c r="Y317" s="796"/>
      <c r="Z317" s="796"/>
      <c r="AA317" s="796"/>
      <c r="AB317" s="796" t="s">
        <v>2111</v>
      </c>
      <c r="AC317" s="796" t="s">
        <v>2222</v>
      </c>
      <c r="AD317" s="796" t="s">
        <v>2223</v>
      </c>
      <c r="AE317" s="796"/>
      <c r="AF317" s="796"/>
      <c r="AG317" s="796"/>
      <c r="AH317" s="796"/>
      <c r="AI317" s="796"/>
      <c r="AJ317" s="796"/>
      <c r="AK317" s="796"/>
      <c r="AL317" s="796"/>
      <c r="AM317" s="796"/>
      <c r="AN317" s="796"/>
      <c r="AO317" s="796"/>
      <c r="AP317" s="796"/>
      <c r="AQ317" s="796"/>
      <c r="AR317" s="796"/>
      <c r="AS317" s="796"/>
      <c r="AT317" s="796"/>
      <c r="AU317" s="796"/>
    </row>
    <row r="318" spans="1:47" ht="13.5">
      <c r="A318" s="796"/>
      <c r="B318" s="796"/>
      <c r="C318" s="796"/>
      <c r="D318" s="796"/>
      <c r="E318" s="796"/>
      <c r="F318" s="796"/>
      <c r="G318" s="796"/>
      <c r="H318" s="796"/>
      <c r="I318" s="796"/>
      <c r="J318" s="796"/>
      <c r="K318" s="796"/>
      <c r="L318" s="796"/>
      <c r="M318" s="796"/>
      <c r="N318" s="796"/>
      <c r="O318" s="796"/>
      <c r="P318" s="796"/>
      <c r="Q318" s="796"/>
      <c r="R318" s="796"/>
      <c r="S318" s="796"/>
      <c r="T318" s="796"/>
      <c r="U318" s="796"/>
      <c r="V318" s="796"/>
      <c r="W318" s="796"/>
      <c r="X318" s="796"/>
      <c r="Y318" s="796"/>
      <c r="Z318" s="796"/>
      <c r="AA318" s="796"/>
      <c r="AB318" s="796" t="s">
        <v>2112</v>
      </c>
      <c r="AC318" s="796" t="s">
        <v>2223</v>
      </c>
      <c r="AD318" s="796" t="s">
        <v>2223</v>
      </c>
      <c r="AE318" s="796"/>
      <c r="AF318" s="796"/>
      <c r="AG318" s="796"/>
      <c r="AH318" s="796"/>
      <c r="AI318" s="796"/>
      <c r="AJ318" s="796"/>
      <c r="AK318" s="796"/>
      <c r="AL318" s="796"/>
      <c r="AM318" s="796"/>
      <c r="AN318" s="796"/>
      <c r="AO318" s="796"/>
      <c r="AP318" s="796"/>
      <c r="AQ318" s="796"/>
      <c r="AR318" s="796"/>
      <c r="AS318" s="796"/>
      <c r="AT318" s="796"/>
      <c r="AU318" s="796"/>
    </row>
    <row r="319" spans="1:47" ht="13.5">
      <c r="A319" s="796"/>
      <c r="B319" s="796"/>
      <c r="C319" s="796"/>
      <c r="D319" s="796"/>
      <c r="E319" s="796"/>
      <c r="F319" s="796"/>
      <c r="G319" s="796"/>
      <c r="H319" s="796"/>
      <c r="I319" s="796"/>
      <c r="J319" s="796"/>
      <c r="K319" s="796"/>
      <c r="L319" s="796"/>
      <c r="M319" s="796"/>
      <c r="N319" s="796"/>
      <c r="O319" s="796"/>
      <c r="P319" s="796"/>
      <c r="Q319" s="796"/>
      <c r="R319" s="796"/>
      <c r="S319" s="796"/>
      <c r="T319" s="796"/>
      <c r="U319" s="796"/>
      <c r="V319" s="796"/>
      <c r="W319" s="796"/>
      <c r="X319" s="796"/>
      <c r="Y319" s="796"/>
      <c r="Z319" s="796"/>
      <c r="AA319" s="796"/>
      <c r="AB319" s="796" t="s">
        <v>2113</v>
      </c>
      <c r="AC319" s="796" t="s">
        <v>2223</v>
      </c>
      <c r="AD319" s="796" t="s">
        <v>2224</v>
      </c>
      <c r="AE319" s="796"/>
      <c r="AF319" s="796"/>
      <c r="AG319" s="796"/>
      <c r="AH319" s="796"/>
      <c r="AI319" s="796"/>
      <c r="AJ319" s="796"/>
      <c r="AK319" s="796"/>
      <c r="AL319" s="796"/>
      <c r="AM319" s="796"/>
      <c r="AN319" s="796"/>
      <c r="AO319" s="796"/>
      <c r="AP319" s="796"/>
      <c r="AQ319" s="796"/>
      <c r="AR319" s="796"/>
      <c r="AS319" s="796"/>
      <c r="AT319" s="796"/>
      <c r="AU319" s="796"/>
    </row>
    <row r="320" spans="1:47" ht="13.5">
      <c r="A320" s="796"/>
      <c r="B320" s="796"/>
      <c r="C320" s="796"/>
      <c r="D320" s="796"/>
      <c r="E320" s="796"/>
      <c r="F320" s="796"/>
      <c r="G320" s="796"/>
      <c r="H320" s="796"/>
      <c r="I320" s="796"/>
      <c r="J320" s="796"/>
      <c r="K320" s="796"/>
      <c r="L320" s="796"/>
      <c r="M320" s="796"/>
      <c r="N320" s="796"/>
      <c r="O320" s="796"/>
      <c r="P320" s="796"/>
      <c r="Q320" s="796"/>
      <c r="R320" s="796"/>
      <c r="S320" s="796"/>
      <c r="T320" s="796"/>
      <c r="U320" s="796"/>
      <c r="V320" s="796"/>
      <c r="W320" s="796"/>
      <c r="X320" s="796"/>
      <c r="Y320" s="796"/>
      <c r="Z320" s="796"/>
      <c r="AA320" s="796"/>
      <c r="AB320" s="796" t="s">
        <v>2114</v>
      </c>
      <c r="AC320" s="796" t="s">
        <v>2221</v>
      </c>
      <c r="AD320" s="796" t="s">
        <v>2222</v>
      </c>
      <c r="AE320" s="796"/>
      <c r="AF320" s="796"/>
      <c r="AG320" s="796"/>
      <c r="AH320" s="796"/>
      <c r="AI320" s="796"/>
      <c r="AJ320" s="796"/>
      <c r="AK320" s="796"/>
      <c r="AL320" s="796"/>
      <c r="AM320" s="796"/>
      <c r="AN320" s="796"/>
      <c r="AO320" s="796"/>
      <c r="AP320" s="796"/>
      <c r="AQ320" s="796"/>
      <c r="AR320" s="796"/>
      <c r="AS320" s="796"/>
      <c r="AT320" s="796"/>
      <c r="AU320" s="796"/>
    </row>
    <row r="321" spans="1:47" ht="13.5">
      <c r="A321" s="796"/>
      <c r="B321" s="796"/>
      <c r="C321" s="796"/>
      <c r="D321" s="796"/>
      <c r="E321" s="796"/>
      <c r="F321" s="796"/>
      <c r="G321" s="796"/>
      <c r="H321" s="796"/>
      <c r="I321" s="796"/>
      <c r="J321" s="796"/>
      <c r="K321" s="796"/>
      <c r="L321" s="796"/>
      <c r="M321" s="796"/>
      <c r="N321" s="796"/>
      <c r="O321" s="796"/>
      <c r="P321" s="796"/>
      <c r="Q321" s="796"/>
      <c r="R321" s="796"/>
      <c r="S321" s="796"/>
      <c r="T321" s="796"/>
      <c r="U321" s="796"/>
      <c r="V321" s="796"/>
      <c r="W321" s="796"/>
      <c r="X321" s="796"/>
      <c r="Y321" s="796"/>
      <c r="Z321" s="796"/>
      <c r="AA321" s="796"/>
      <c r="AB321" s="796" t="s">
        <v>2115</v>
      </c>
      <c r="AC321" s="796" t="s">
        <v>2222</v>
      </c>
      <c r="AD321" s="796" t="s">
        <v>2222</v>
      </c>
      <c r="AE321" s="796"/>
      <c r="AF321" s="796"/>
      <c r="AG321" s="796"/>
      <c r="AH321" s="796"/>
      <c r="AI321" s="796"/>
      <c r="AJ321" s="796"/>
      <c r="AK321" s="796"/>
      <c r="AL321" s="796"/>
      <c r="AM321" s="796"/>
      <c r="AN321" s="796"/>
      <c r="AO321" s="796"/>
      <c r="AP321" s="796"/>
      <c r="AQ321" s="796"/>
      <c r="AR321" s="796"/>
      <c r="AS321" s="796"/>
      <c r="AT321" s="796"/>
      <c r="AU321" s="796"/>
    </row>
    <row r="322" spans="1:47" ht="13.5">
      <c r="A322" s="796"/>
      <c r="B322" s="796"/>
      <c r="C322" s="796"/>
      <c r="D322" s="796"/>
      <c r="E322" s="796"/>
      <c r="F322" s="796"/>
      <c r="G322" s="796"/>
      <c r="H322" s="796"/>
      <c r="I322" s="796"/>
      <c r="J322" s="796"/>
      <c r="K322" s="796"/>
      <c r="L322" s="796"/>
      <c r="M322" s="796"/>
      <c r="N322" s="796"/>
      <c r="O322" s="796"/>
      <c r="P322" s="796"/>
      <c r="Q322" s="796"/>
      <c r="R322" s="796"/>
      <c r="S322" s="796"/>
      <c r="T322" s="796"/>
      <c r="U322" s="796"/>
      <c r="V322" s="796"/>
      <c r="W322" s="796"/>
      <c r="X322" s="796"/>
      <c r="Y322" s="796"/>
      <c r="Z322" s="796"/>
      <c r="AA322" s="796"/>
      <c r="AB322" s="796" t="s">
        <v>2116</v>
      </c>
      <c r="AC322" s="796" t="s">
        <v>2221</v>
      </c>
      <c r="AD322" s="796" t="s">
        <v>2221</v>
      </c>
      <c r="AE322" s="796"/>
      <c r="AF322" s="796"/>
      <c r="AG322" s="796"/>
      <c r="AH322" s="796"/>
      <c r="AI322" s="796"/>
      <c r="AJ322" s="796"/>
      <c r="AK322" s="796"/>
      <c r="AL322" s="796"/>
      <c r="AM322" s="796"/>
      <c r="AN322" s="796"/>
      <c r="AO322" s="796"/>
      <c r="AP322" s="796"/>
      <c r="AQ322" s="796"/>
      <c r="AR322" s="796"/>
      <c r="AS322" s="796"/>
      <c r="AT322" s="796"/>
      <c r="AU322" s="796"/>
    </row>
    <row r="323" spans="1:47" ht="13.5">
      <c r="A323" s="796"/>
      <c r="B323" s="796"/>
      <c r="C323" s="796"/>
      <c r="D323" s="796"/>
      <c r="E323" s="796"/>
      <c r="F323" s="796"/>
      <c r="G323" s="796"/>
      <c r="H323" s="796"/>
      <c r="I323" s="796"/>
      <c r="J323" s="796"/>
      <c r="K323" s="796"/>
      <c r="L323" s="796"/>
      <c r="M323" s="796"/>
      <c r="N323" s="796"/>
      <c r="O323" s="796"/>
      <c r="P323" s="796"/>
      <c r="Q323" s="796"/>
      <c r="R323" s="796"/>
      <c r="S323" s="796"/>
      <c r="T323" s="796"/>
      <c r="U323" s="796"/>
      <c r="V323" s="796"/>
      <c r="W323" s="796"/>
      <c r="X323" s="796"/>
      <c r="Y323" s="796"/>
      <c r="Z323" s="796"/>
      <c r="AA323" s="796"/>
      <c r="AB323" s="796" t="s">
        <v>2117</v>
      </c>
      <c r="AC323" s="796" t="s">
        <v>2223</v>
      </c>
      <c r="AD323" s="796" t="s">
        <v>2223</v>
      </c>
      <c r="AE323" s="796"/>
      <c r="AF323" s="796"/>
      <c r="AG323" s="796"/>
      <c r="AH323" s="796"/>
      <c r="AI323" s="796"/>
      <c r="AJ323" s="796"/>
      <c r="AK323" s="796"/>
      <c r="AL323" s="796"/>
      <c r="AM323" s="796"/>
      <c r="AN323" s="796"/>
      <c r="AO323" s="796"/>
      <c r="AP323" s="796"/>
      <c r="AQ323" s="796"/>
      <c r="AR323" s="796"/>
      <c r="AS323" s="796"/>
      <c r="AT323" s="796"/>
      <c r="AU323" s="796"/>
    </row>
    <row r="324" spans="1:47" ht="13.5">
      <c r="A324" s="796"/>
      <c r="B324" s="796"/>
      <c r="C324" s="796"/>
      <c r="D324" s="796"/>
      <c r="E324" s="796"/>
      <c r="F324" s="796"/>
      <c r="G324" s="796"/>
      <c r="H324" s="796"/>
      <c r="I324" s="796"/>
      <c r="J324" s="796"/>
      <c r="K324" s="796"/>
      <c r="L324" s="796"/>
      <c r="M324" s="796"/>
      <c r="N324" s="796"/>
      <c r="O324" s="796"/>
      <c r="P324" s="796"/>
      <c r="Q324" s="796"/>
      <c r="R324" s="796"/>
      <c r="S324" s="796"/>
      <c r="T324" s="796"/>
      <c r="U324" s="796"/>
      <c r="V324" s="796"/>
      <c r="W324" s="796"/>
      <c r="X324" s="796"/>
      <c r="Y324" s="796"/>
      <c r="Z324" s="796"/>
      <c r="AA324" s="796"/>
      <c r="AB324" s="796" t="s">
        <v>2118</v>
      </c>
      <c r="AC324" s="796" t="s">
        <v>2221</v>
      </c>
      <c r="AD324" s="796" t="s">
        <v>2221</v>
      </c>
      <c r="AE324" s="796"/>
      <c r="AF324" s="796"/>
      <c r="AG324" s="796"/>
      <c r="AH324" s="796"/>
      <c r="AI324" s="796"/>
      <c r="AJ324" s="796"/>
      <c r="AK324" s="796"/>
      <c r="AL324" s="796"/>
      <c r="AM324" s="796"/>
      <c r="AN324" s="796"/>
      <c r="AO324" s="796"/>
      <c r="AP324" s="796"/>
      <c r="AQ324" s="796"/>
      <c r="AR324" s="796"/>
      <c r="AS324" s="796"/>
      <c r="AT324" s="796"/>
      <c r="AU324" s="796"/>
    </row>
    <row r="325" spans="1:47" ht="13.5">
      <c r="A325" s="796"/>
      <c r="B325" s="796"/>
      <c r="C325" s="796"/>
      <c r="D325" s="796"/>
      <c r="E325" s="796"/>
      <c r="F325" s="796"/>
      <c r="G325" s="796"/>
      <c r="H325" s="796"/>
      <c r="I325" s="796"/>
      <c r="J325" s="796"/>
      <c r="K325" s="796"/>
      <c r="L325" s="796"/>
      <c r="M325" s="796"/>
      <c r="N325" s="796"/>
      <c r="O325" s="796"/>
      <c r="P325" s="796"/>
      <c r="Q325" s="796"/>
      <c r="R325" s="796"/>
      <c r="S325" s="796"/>
      <c r="T325" s="796"/>
      <c r="U325" s="796"/>
      <c r="V325" s="796"/>
      <c r="W325" s="796"/>
      <c r="X325" s="796"/>
      <c r="Y325" s="796"/>
      <c r="Z325" s="796"/>
      <c r="AA325" s="796"/>
      <c r="AB325" s="796" t="s">
        <v>2119</v>
      </c>
      <c r="AC325" s="796" t="s">
        <v>2223</v>
      </c>
      <c r="AD325" s="796" t="s">
        <v>2223</v>
      </c>
      <c r="AE325" s="796"/>
      <c r="AF325" s="796"/>
      <c r="AG325" s="796"/>
      <c r="AH325" s="796"/>
      <c r="AI325" s="796"/>
      <c r="AJ325" s="796"/>
      <c r="AK325" s="796"/>
      <c r="AL325" s="796"/>
      <c r="AM325" s="796"/>
      <c r="AN325" s="796"/>
      <c r="AO325" s="796"/>
      <c r="AP325" s="796"/>
      <c r="AQ325" s="796"/>
      <c r="AR325" s="796"/>
      <c r="AS325" s="796"/>
      <c r="AT325" s="796"/>
      <c r="AU325" s="796"/>
    </row>
    <row r="326" spans="1:47" ht="13.5">
      <c r="A326" s="796"/>
      <c r="B326" s="796"/>
      <c r="C326" s="796"/>
      <c r="D326" s="796"/>
      <c r="E326" s="796"/>
      <c r="F326" s="796"/>
      <c r="G326" s="796"/>
      <c r="H326" s="796"/>
      <c r="I326" s="796"/>
      <c r="J326" s="796"/>
      <c r="K326" s="796"/>
      <c r="L326" s="796"/>
      <c r="M326" s="796"/>
      <c r="N326" s="796"/>
      <c r="O326" s="796"/>
      <c r="P326" s="796"/>
      <c r="Q326" s="796"/>
      <c r="R326" s="796"/>
      <c r="S326" s="796"/>
      <c r="T326" s="796"/>
      <c r="U326" s="796"/>
      <c r="V326" s="796"/>
      <c r="W326" s="796"/>
      <c r="X326" s="796"/>
      <c r="Y326" s="796"/>
      <c r="Z326" s="796"/>
      <c r="AA326" s="796"/>
      <c r="AB326" s="796" t="s">
        <v>2120</v>
      </c>
      <c r="AC326" s="796" t="s">
        <v>2221</v>
      </c>
      <c r="AD326" s="796" t="s">
        <v>2221</v>
      </c>
      <c r="AE326" s="796"/>
      <c r="AF326" s="796"/>
      <c r="AG326" s="796"/>
      <c r="AH326" s="796"/>
      <c r="AI326" s="796"/>
      <c r="AJ326" s="796"/>
      <c r="AK326" s="796"/>
      <c r="AL326" s="796"/>
      <c r="AM326" s="796"/>
      <c r="AN326" s="796"/>
      <c r="AO326" s="796"/>
      <c r="AP326" s="796"/>
      <c r="AQ326" s="796"/>
      <c r="AR326" s="796"/>
      <c r="AS326" s="796"/>
      <c r="AT326" s="796"/>
      <c r="AU326" s="796"/>
    </row>
    <row r="327" spans="1:47" ht="13.5">
      <c r="A327" s="796"/>
      <c r="B327" s="796"/>
      <c r="C327" s="796"/>
      <c r="D327" s="796"/>
      <c r="E327" s="796"/>
      <c r="F327" s="796"/>
      <c r="G327" s="796"/>
      <c r="H327" s="796"/>
      <c r="I327" s="796"/>
      <c r="J327" s="796"/>
      <c r="K327" s="796"/>
      <c r="L327" s="796"/>
      <c r="M327" s="796"/>
      <c r="N327" s="796"/>
      <c r="O327" s="796"/>
      <c r="P327" s="796"/>
      <c r="Q327" s="796"/>
      <c r="R327" s="796"/>
      <c r="S327" s="796"/>
      <c r="T327" s="796"/>
      <c r="U327" s="796"/>
      <c r="V327" s="796"/>
      <c r="W327" s="796"/>
      <c r="X327" s="796"/>
      <c r="Y327" s="796"/>
      <c r="Z327" s="796"/>
      <c r="AA327" s="796"/>
      <c r="AB327" s="796" t="s">
        <v>2121</v>
      </c>
      <c r="AC327" s="796" t="s">
        <v>2224</v>
      </c>
      <c r="AD327" s="796" t="s">
        <v>2224</v>
      </c>
      <c r="AE327" s="796"/>
      <c r="AF327" s="796"/>
      <c r="AG327" s="796"/>
      <c r="AH327" s="796"/>
      <c r="AI327" s="796"/>
      <c r="AJ327" s="796"/>
      <c r="AK327" s="796"/>
      <c r="AL327" s="796"/>
      <c r="AM327" s="796"/>
      <c r="AN327" s="796"/>
      <c r="AO327" s="796"/>
      <c r="AP327" s="796"/>
      <c r="AQ327" s="796"/>
      <c r="AR327" s="796"/>
      <c r="AS327" s="796"/>
      <c r="AT327" s="796"/>
      <c r="AU327" s="796"/>
    </row>
    <row r="328" spans="1:47" ht="13.5">
      <c r="A328" s="796"/>
      <c r="B328" s="796"/>
      <c r="C328" s="796"/>
      <c r="D328" s="796"/>
      <c r="E328" s="796"/>
      <c r="F328" s="796"/>
      <c r="G328" s="796"/>
      <c r="H328" s="796"/>
      <c r="I328" s="796"/>
      <c r="J328" s="796"/>
      <c r="K328" s="796"/>
      <c r="L328" s="796"/>
      <c r="M328" s="796"/>
      <c r="N328" s="796"/>
      <c r="O328" s="796"/>
      <c r="P328" s="796"/>
      <c r="Q328" s="796"/>
      <c r="R328" s="796"/>
      <c r="S328" s="796"/>
      <c r="T328" s="796"/>
      <c r="U328" s="796"/>
      <c r="V328" s="796"/>
      <c r="W328" s="796"/>
      <c r="X328" s="796"/>
      <c r="Y328" s="796"/>
      <c r="Z328" s="796"/>
      <c r="AA328" s="796"/>
      <c r="AB328" s="796" t="s">
        <v>2122</v>
      </c>
      <c r="AC328" s="796" t="s">
        <v>2221</v>
      </c>
      <c r="AD328" s="796" t="s">
        <v>2221</v>
      </c>
      <c r="AE328" s="796"/>
      <c r="AF328" s="796"/>
      <c r="AG328" s="796"/>
      <c r="AH328" s="796"/>
      <c r="AI328" s="796"/>
      <c r="AJ328" s="796"/>
      <c r="AK328" s="796"/>
      <c r="AL328" s="796"/>
      <c r="AM328" s="796"/>
      <c r="AN328" s="796"/>
      <c r="AO328" s="796"/>
      <c r="AP328" s="796"/>
      <c r="AQ328" s="796"/>
      <c r="AR328" s="796"/>
      <c r="AS328" s="796"/>
      <c r="AT328" s="796"/>
      <c r="AU328" s="796"/>
    </row>
    <row r="329" spans="1:47" ht="13.5">
      <c r="A329" s="796"/>
      <c r="B329" s="796"/>
      <c r="C329" s="796"/>
      <c r="D329" s="796"/>
      <c r="E329" s="796"/>
      <c r="F329" s="796"/>
      <c r="G329" s="796"/>
      <c r="H329" s="796"/>
      <c r="I329" s="796"/>
      <c r="J329" s="796"/>
      <c r="K329" s="796"/>
      <c r="L329" s="796"/>
      <c r="M329" s="796"/>
      <c r="N329" s="796"/>
      <c r="O329" s="796"/>
      <c r="P329" s="796"/>
      <c r="Q329" s="796"/>
      <c r="R329" s="796"/>
      <c r="S329" s="796"/>
      <c r="T329" s="796"/>
      <c r="U329" s="796"/>
      <c r="V329" s="796"/>
      <c r="W329" s="796"/>
      <c r="X329" s="796"/>
      <c r="Y329" s="796"/>
      <c r="Z329" s="796"/>
      <c r="AA329" s="796"/>
      <c r="AB329" s="796" t="s">
        <v>2123</v>
      </c>
      <c r="AC329" s="796" t="s">
        <v>2222</v>
      </c>
      <c r="AD329" s="796" t="s">
        <v>2223</v>
      </c>
      <c r="AE329" s="796"/>
      <c r="AF329" s="796"/>
      <c r="AG329" s="796"/>
      <c r="AH329" s="796"/>
      <c r="AI329" s="796"/>
      <c r="AJ329" s="796"/>
      <c r="AK329" s="796"/>
      <c r="AL329" s="796"/>
      <c r="AM329" s="796"/>
      <c r="AN329" s="796"/>
      <c r="AO329" s="796"/>
      <c r="AP329" s="796"/>
      <c r="AQ329" s="796"/>
      <c r="AR329" s="796"/>
      <c r="AS329" s="796"/>
      <c r="AT329" s="796"/>
      <c r="AU329" s="796"/>
    </row>
    <row r="330" spans="1:47" ht="13.5">
      <c r="A330" s="796"/>
      <c r="B330" s="796"/>
      <c r="C330" s="796"/>
      <c r="D330" s="796"/>
      <c r="E330" s="796"/>
      <c r="F330" s="796"/>
      <c r="G330" s="796"/>
      <c r="H330" s="796"/>
      <c r="I330" s="796"/>
      <c r="J330" s="796"/>
      <c r="K330" s="796"/>
      <c r="L330" s="796"/>
      <c r="M330" s="796"/>
      <c r="N330" s="796"/>
      <c r="O330" s="796"/>
      <c r="P330" s="796"/>
      <c r="Q330" s="796"/>
      <c r="R330" s="796"/>
      <c r="S330" s="796"/>
      <c r="T330" s="796"/>
      <c r="U330" s="796"/>
      <c r="V330" s="796"/>
      <c r="W330" s="796"/>
      <c r="X330" s="796"/>
      <c r="Y330" s="796"/>
      <c r="Z330" s="796"/>
      <c r="AA330" s="796"/>
      <c r="AB330" s="796" t="s">
        <v>2124</v>
      </c>
      <c r="AC330" s="796" t="s">
        <v>2223</v>
      </c>
      <c r="AD330" s="796" t="s">
        <v>2223</v>
      </c>
      <c r="AE330" s="796"/>
      <c r="AF330" s="796"/>
      <c r="AG330" s="796"/>
      <c r="AH330" s="796"/>
      <c r="AI330" s="796"/>
      <c r="AJ330" s="796"/>
      <c r="AK330" s="796"/>
      <c r="AL330" s="796"/>
      <c r="AM330" s="796"/>
      <c r="AN330" s="796"/>
      <c r="AO330" s="796"/>
      <c r="AP330" s="796"/>
      <c r="AQ330" s="796"/>
      <c r="AR330" s="796"/>
      <c r="AS330" s="796"/>
      <c r="AT330" s="796"/>
      <c r="AU330" s="796"/>
    </row>
    <row r="331" spans="1:47" ht="13.5">
      <c r="A331" s="796"/>
      <c r="B331" s="796"/>
      <c r="C331" s="796"/>
      <c r="D331" s="796"/>
      <c r="E331" s="796"/>
      <c r="F331" s="796"/>
      <c r="G331" s="796"/>
      <c r="H331" s="796"/>
      <c r="I331" s="796"/>
      <c r="J331" s="796"/>
      <c r="K331" s="796"/>
      <c r="L331" s="796"/>
      <c r="M331" s="796"/>
      <c r="N331" s="796"/>
      <c r="O331" s="796"/>
      <c r="P331" s="796"/>
      <c r="Q331" s="796"/>
      <c r="R331" s="796"/>
      <c r="S331" s="796"/>
      <c r="T331" s="796"/>
      <c r="U331" s="796"/>
      <c r="V331" s="796"/>
      <c r="W331" s="796"/>
      <c r="X331" s="796"/>
      <c r="Y331" s="796"/>
      <c r="Z331" s="796"/>
      <c r="AA331" s="796"/>
      <c r="AB331" s="796" t="s">
        <v>2125</v>
      </c>
      <c r="AC331" s="796" t="s">
        <v>2221</v>
      </c>
      <c r="AD331" s="796" t="s">
        <v>2221</v>
      </c>
      <c r="AE331" s="796"/>
      <c r="AF331" s="796"/>
      <c r="AG331" s="796"/>
      <c r="AH331" s="796"/>
      <c r="AI331" s="796"/>
      <c r="AJ331" s="796"/>
      <c r="AK331" s="796"/>
      <c r="AL331" s="796"/>
      <c r="AM331" s="796"/>
      <c r="AN331" s="796"/>
      <c r="AO331" s="796"/>
      <c r="AP331" s="796"/>
      <c r="AQ331" s="796"/>
      <c r="AR331" s="796"/>
      <c r="AS331" s="796"/>
      <c r="AT331" s="796"/>
      <c r="AU331" s="796"/>
    </row>
    <row r="332" spans="1:47" ht="13.5">
      <c r="A332" s="796"/>
      <c r="B332" s="796"/>
      <c r="C332" s="796"/>
      <c r="D332" s="796"/>
      <c r="E332" s="796"/>
      <c r="F332" s="796"/>
      <c r="G332" s="796"/>
      <c r="H332" s="796"/>
      <c r="I332" s="796"/>
      <c r="J332" s="796"/>
      <c r="K332" s="796"/>
      <c r="L332" s="796"/>
      <c r="M332" s="796"/>
      <c r="N332" s="796"/>
      <c r="O332" s="796"/>
      <c r="P332" s="796"/>
      <c r="Q332" s="796"/>
      <c r="R332" s="796"/>
      <c r="S332" s="796"/>
      <c r="T332" s="796"/>
      <c r="U332" s="796"/>
      <c r="V332" s="796"/>
      <c r="W332" s="796"/>
      <c r="X332" s="796"/>
      <c r="Y332" s="796"/>
      <c r="Z332" s="796"/>
      <c r="AA332" s="796"/>
      <c r="AB332" s="796" t="s">
        <v>2126</v>
      </c>
      <c r="AC332" s="796" t="s">
        <v>2222</v>
      </c>
      <c r="AD332" s="796" t="s">
        <v>2222</v>
      </c>
      <c r="AE332" s="796"/>
      <c r="AF332" s="796"/>
      <c r="AG332" s="796"/>
      <c r="AH332" s="796"/>
      <c r="AI332" s="796"/>
      <c r="AJ332" s="796"/>
      <c r="AK332" s="796"/>
      <c r="AL332" s="796"/>
      <c r="AM332" s="796"/>
      <c r="AN332" s="796"/>
      <c r="AO332" s="796"/>
      <c r="AP332" s="796"/>
      <c r="AQ332" s="796"/>
      <c r="AR332" s="796"/>
      <c r="AS332" s="796"/>
      <c r="AT332" s="796"/>
      <c r="AU332" s="796"/>
    </row>
    <row r="333" spans="1:47" ht="13.5">
      <c r="A333" s="796"/>
      <c r="B333" s="796"/>
      <c r="C333" s="796"/>
      <c r="D333" s="796"/>
      <c r="E333" s="796"/>
      <c r="F333" s="796"/>
      <c r="G333" s="796"/>
      <c r="H333" s="796"/>
      <c r="I333" s="796"/>
      <c r="J333" s="796"/>
      <c r="K333" s="796"/>
      <c r="L333" s="796"/>
      <c r="M333" s="796"/>
      <c r="N333" s="796"/>
      <c r="O333" s="796"/>
      <c r="P333" s="796"/>
      <c r="Q333" s="796"/>
      <c r="R333" s="796"/>
      <c r="S333" s="796"/>
      <c r="T333" s="796"/>
      <c r="U333" s="796"/>
      <c r="V333" s="796"/>
      <c r="W333" s="796"/>
      <c r="X333" s="796"/>
      <c r="Y333" s="796"/>
      <c r="Z333" s="796"/>
      <c r="AA333" s="796"/>
      <c r="AB333" s="796" t="s">
        <v>2127</v>
      </c>
      <c r="AC333" s="796" t="s">
        <v>2221</v>
      </c>
      <c r="AD333" s="796" t="s">
        <v>2221</v>
      </c>
      <c r="AE333" s="796"/>
      <c r="AF333" s="796"/>
      <c r="AG333" s="796"/>
      <c r="AH333" s="796"/>
      <c r="AI333" s="796"/>
      <c r="AJ333" s="796"/>
      <c r="AK333" s="796"/>
      <c r="AL333" s="796"/>
      <c r="AM333" s="796"/>
      <c r="AN333" s="796"/>
      <c r="AO333" s="796"/>
      <c r="AP333" s="796"/>
      <c r="AQ333" s="796"/>
      <c r="AR333" s="796"/>
      <c r="AS333" s="796"/>
      <c r="AT333" s="796"/>
      <c r="AU333" s="796"/>
    </row>
    <row r="334" spans="1:47" ht="13.5">
      <c r="A334" s="796"/>
      <c r="B334" s="796"/>
      <c r="C334" s="796"/>
      <c r="D334" s="796"/>
      <c r="E334" s="796"/>
      <c r="F334" s="796"/>
      <c r="G334" s="796"/>
      <c r="H334" s="796"/>
      <c r="I334" s="796"/>
      <c r="J334" s="796"/>
      <c r="K334" s="796"/>
      <c r="L334" s="796"/>
      <c r="M334" s="796"/>
      <c r="N334" s="796"/>
      <c r="O334" s="796"/>
      <c r="P334" s="796"/>
      <c r="Q334" s="796"/>
      <c r="R334" s="796"/>
      <c r="S334" s="796"/>
      <c r="T334" s="796"/>
      <c r="U334" s="796"/>
      <c r="V334" s="796"/>
      <c r="W334" s="796"/>
      <c r="X334" s="796"/>
      <c r="Y334" s="796"/>
      <c r="Z334" s="796"/>
      <c r="AA334" s="796"/>
      <c r="AB334" s="796" t="s">
        <v>2128</v>
      </c>
      <c r="AC334" s="796" t="s">
        <v>2222</v>
      </c>
      <c r="AD334" s="796" t="s">
        <v>2223</v>
      </c>
      <c r="AE334" s="796"/>
      <c r="AF334" s="796"/>
      <c r="AG334" s="796"/>
      <c r="AH334" s="796"/>
      <c r="AI334" s="796"/>
      <c r="AJ334" s="796"/>
      <c r="AK334" s="796"/>
      <c r="AL334" s="796"/>
      <c r="AM334" s="796"/>
      <c r="AN334" s="796"/>
      <c r="AO334" s="796"/>
      <c r="AP334" s="796"/>
      <c r="AQ334" s="796"/>
      <c r="AR334" s="796"/>
      <c r="AS334" s="796"/>
      <c r="AT334" s="796"/>
      <c r="AU334" s="796"/>
    </row>
    <row r="335" spans="1:47" ht="13.5">
      <c r="A335" s="796"/>
      <c r="B335" s="796"/>
      <c r="C335" s="796"/>
      <c r="D335" s="796"/>
      <c r="E335" s="796"/>
      <c r="F335" s="796"/>
      <c r="G335" s="796"/>
      <c r="H335" s="796"/>
      <c r="I335" s="796"/>
      <c r="J335" s="796"/>
      <c r="K335" s="796"/>
      <c r="L335" s="796"/>
      <c r="M335" s="796"/>
      <c r="N335" s="796"/>
      <c r="O335" s="796"/>
      <c r="P335" s="796"/>
      <c r="Q335" s="796"/>
      <c r="R335" s="796"/>
      <c r="S335" s="796"/>
      <c r="T335" s="796"/>
      <c r="U335" s="796"/>
      <c r="V335" s="796"/>
      <c r="W335" s="796"/>
      <c r="X335" s="796"/>
      <c r="Y335" s="796"/>
      <c r="Z335" s="796"/>
      <c r="AA335" s="796"/>
      <c r="AB335" s="796" t="s">
        <v>2129</v>
      </c>
      <c r="AC335" s="796" t="s">
        <v>2222</v>
      </c>
      <c r="AD335" s="796" t="s">
        <v>2222</v>
      </c>
      <c r="AE335" s="796"/>
      <c r="AF335" s="796"/>
      <c r="AG335" s="796"/>
      <c r="AH335" s="796"/>
      <c r="AI335" s="796"/>
      <c r="AJ335" s="796"/>
      <c r="AK335" s="796"/>
      <c r="AL335" s="796"/>
      <c r="AM335" s="796"/>
      <c r="AN335" s="796"/>
      <c r="AO335" s="796"/>
      <c r="AP335" s="796"/>
      <c r="AQ335" s="796"/>
      <c r="AR335" s="796"/>
      <c r="AS335" s="796"/>
      <c r="AT335" s="796"/>
      <c r="AU335" s="796"/>
    </row>
    <row r="336" spans="1:47" ht="13.5">
      <c r="A336" s="796"/>
      <c r="B336" s="796"/>
      <c r="C336" s="796"/>
      <c r="D336" s="796"/>
      <c r="E336" s="796"/>
      <c r="F336" s="796"/>
      <c r="G336" s="796"/>
      <c r="H336" s="796"/>
      <c r="I336" s="796"/>
      <c r="J336" s="796"/>
      <c r="K336" s="796"/>
      <c r="L336" s="796"/>
      <c r="M336" s="796"/>
      <c r="N336" s="796"/>
      <c r="O336" s="796"/>
      <c r="P336" s="796"/>
      <c r="Q336" s="796"/>
      <c r="R336" s="796"/>
      <c r="S336" s="796"/>
      <c r="T336" s="796"/>
      <c r="U336" s="796"/>
      <c r="V336" s="796"/>
      <c r="W336" s="796"/>
      <c r="X336" s="796"/>
      <c r="Y336" s="796"/>
      <c r="Z336" s="796"/>
      <c r="AA336" s="796"/>
      <c r="AB336" s="796" t="s">
        <v>2130</v>
      </c>
      <c r="AC336" s="796" t="s">
        <v>2223</v>
      </c>
      <c r="AD336" s="796" t="s">
        <v>2223</v>
      </c>
      <c r="AE336" s="796"/>
      <c r="AF336" s="796"/>
      <c r="AG336" s="796"/>
      <c r="AH336" s="796"/>
      <c r="AI336" s="796"/>
      <c r="AJ336" s="796"/>
      <c r="AK336" s="796"/>
      <c r="AL336" s="796"/>
      <c r="AM336" s="796"/>
      <c r="AN336" s="796"/>
      <c r="AO336" s="796"/>
      <c r="AP336" s="796"/>
      <c r="AQ336" s="796"/>
      <c r="AR336" s="796"/>
      <c r="AS336" s="796"/>
      <c r="AT336" s="796"/>
      <c r="AU336" s="796"/>
    </row>
    <row r="337" spans="1:47" ht="13.5">
      <c r="A337" s="796"/>
      <c r="B337" s="796"/>
      <c r="C337" s="796"/>
      <c r="D337" s="796"/>
      <c r="E337" s="796"/>
      <c r="F337" s="796"/>
      <c r="G337" s="796"/>
      <c r="H337" s="796"/>
      <c r="I337" s="796"/>
      <c r="J337" s="796"/>
      <c r="K337" s="796"/>
      <c r="L337" s="796"/>
      <c r="M337" s="796"/>
      <c r="N337" s="796"/>
      <c r="O337" s="796"/>
      <c r="P337" s="796"/>
      <c r="Q337" s="796"/>
      <c r="R337" s="796"/>
      <c r="S337" s="796"/>
      <c r="T337" s="796"/>
      <c r="U337" s="796"/>
      <c r="V337" s="796"/>
      <c r="W337" s="796"/>
      <c r="X337" s="796"/>
      <c r="Y337" s="796"/>
      <c r="Z337" s="796"/>
      <c r="AA337" s="796"/>
      <c r="AB337" s="796" t="s">
        <v>2131</v>
      </c>
      <c r="AC337" s="796" t="s">
        <v>2223</v>
      </c>
      <c r="AD337" s="796" t="s">
        <v>2223</v>
      </c>
      <c r="AE337" s="796"/>
      <c r="AF337" s="796"/>
      <c r="AG337" s="796"/>
      <c r="AH337" s="796"/>
      <c r="AI337" s="796"/>
      <c r="AJ337" s="796"/>
      <c r="AK337" s="796"/>
      <c r="AL337" s="796"/>
      <c r="AM337" s="796"/>
      <c r="AN337" s="796"/>
      <c r="AO337" s="796"/>
      <c r="AP337" s="796"/>
      <c r="AQ337" s="796"/>
      <c r="AR337" s="796"/>
      <c r="AS337" s="796"/>
      <c r="AT337" s="796"/>
      <c r="AU337" s="796"/>
    </row>
    <row r="338" spans="1:47" ht="13.5">
      <c r="A338" s="796"/>
      <c r="B338" s="796"/>
      <c r="C338" s="796"/>
      <c r="D338" s="796"/>
      <c r="E338" s="796"/>
      <c r="F338" s="796"/>
      <c r="G338" s="796"/>
      <c r="H338" s="796"/>
      <c r="I338" s="796"/>
      <c r="J338" s="796"/>
      <c r="K338" s="796"/>
      <c r="L338" s="796"/>
      <c r="M338" s="796"/>
      <c r="N338" s="796"/>
      <c r="O338" s="796"/>
      <c r="P338" s="796"/>
      <c r="Q338" s="796"/>
      <c r="R338" s="796"/>
      <c r="S338" s="796"/>
      <c r="T338" s="796"/>
      <c r="U338" s="796"/>
      <c r="V338" s="796"/>
      <c r="W338" s="796"/>
      <c r="X338" s="796"/>
      <c r="Y338" s="796"/>
      <c r="Z338" s="796"/>
      <c r="AA338" s="796"/>
      <c r="AB338" s="796" t="s">
        <v>2132</v>
      </c>
      <c r="AC338" s="796" t="s">
        <v>2222</v>
      </c>
      <c r="AD338" s="796" t="s">
        <v>2222</v>
      </c>
      <c r="AE338" s="796"/>
      <c r="AF338" s="796"/>
      <c r="AG338" s="796"/>
      <c r="AH338" s="796"/>
      <c r="AI338" s="796"/>
      <c r="AJ338" s="796"/>
      <c r="AK338" s="796"/>
      <c r="AL338" s="796"/>
      <c r="AM338" s="796"/>
      <c r="AN338" s="796"/>
      <c r="AO338" s="796"/>
      <c r="AP338" s="796"/>
      <c r="AQ338" s="796"/>
      <c r="AR338" s="796"/>
      <c r="AS338" s="796"/>
      <c r="AT338" s="796"/>
      <c r="AU338" s="796"/>
    </row>
    <row r="339" spans="1:47" ht="13.5">
      <c r="A339" s="796"/>
      <c r="B339" s="796"/>
      <c r="C339" s="796"/>
      <c r="D339" s="796"/>
      <c r="E339" s="796"/>
      <c r="F339" s="796"/>
      <c r="G339" s="796"/>
      <c r="H339" s="796"/>
      <c r="I339" s="796"/>
      <c r="J339" s="796"/>
      <c r="K339" s="796"/>
      <c r="L339" s="796"/>
      <c r="M339" s="796"/>
      <c r="N339" s="796"/>
      <c r="O339" s="796"/>
      <c r="P339" s="796"/>
      <c r="Q339" s="796"/>
      <c r="R339" s="796"/>
      <c r="S339" s="796"/>
      <c r="T339" s="796"/>
      <c r="U339" s="796"/>
      <c r="V339" s="796"/>
      <c r="W339" s="796"/>
      <c r="X339" s="796"/>
      <c r="Y339" s="796"/>
      <c r="Z339" s="796"/>
      <c r="AA339" s="796"/>
      <c r="AB339" s="796" t="s">
        <v>2133</v>
      </c>
      <c r="AC339" s="796" t="s">
        <v>2221</v>
      </c>
      <c r="AD339" s="796" t="s">
        <v>2222</v>
      </c>
      <c r="AE339" s="796"/>
      <c r="AF339" s="796"/>
      <c r="AG339" s="796"/>
      <c r="AH339" s="796"/>
      <c r="AI339" s="796"/>
      <c r="AJ339" s="796"/>
      <c r="AK339" s="796"/>
      <c r="AL339" s="796"/>
      <c r="AM339" s="796"/>
      <c r="AN339" s="796"/>
      <c r="AO339" s="796"/>
      <c r="AP339" s="796"/>
      <c r="AQ339" s="796"/>
      <c r="AR339" s="796"/>
      <c r="AS339" s="796"/>
      <c r="AT339" s="796"/>
      <c r="AU339" s="796"/>
    </row>
    <row r="340" spans="1:47" ht="13.5">
      <c r="A340" s="796"/>
      <c r="B340" s="796"/>
      <c r="C340" s="796"/>
      <c r="D340" s="796"/>
      <c r="E340" s="796"/>
      <c r="F340" s="796"/>
      <c r="G340" s="796"/>
      <c r="H340" s="796"/>
      <c r="I340" s="796"/>
      <c r="J340" s="796"/>
      <c r="K340" s="796"/>
      <c r="L340" s="796"/>
      <c r="M340" s="796"/>
      <c r="N340" s="796"/>
      <c r="O340" s="796"/>
      <c r="P340" s="796"/>
      <c r="Q340" s="796"/>
      <c r="R340" s="796"/>
      <c r="S340" s="796"/>
      <c r="T340" s="796"/>
      <c r="U340" s="796"/>
      <c r="V340" s="796"/>
      <c r="W340" s="796"/>
      <c r="X340" s="796"/>
      <c r="Y340" s="796"/>
      <c r="Z340" s="796"/>
      <c r="AA340" s="796"/>
      <c r="AB340" s="796" t="s">
        <v>2134</v>
      </c>
      <c r="AC340" s="796" t="s">
        <v>2222</v>
      </c>
      <c r="AD340" s="796" t="s">
        <v>2222</v>
      </c>
      <c r="AE340" s="796"/>
      <c r="AF340" s="796"/>
      <c r="AG340" s="796"/>
      <c r="AH340" s="796"/>
      <c r="AI340" s="796"/>
      <c r="AJ340" s="796"/>
      <c r="AK340" s="796"/>
      <c r="AL340" s="796"/>
      <c r="AM340" s="796"/>
      <c r="AN340" s="796"/>
      <c r="AO340" s="796"/>
      <c r="AP340" s="796"/>
      <c r="AQ340" s="796"/>
      <c r="AR340" s="796"/>
      <c r="AS340" s="796"/>
      <c r="AT340" s="796"/>
      <c r="AU340" s="796"/>
    </row>
    <row r="341" spans="1:47" ht="13.5">
      <c r="A341" s="796"/>
      <c r="B341" s="796"/>
      <c r="C341" s="796"/>
      <c r="D341" s="796"/>
      <c r="E341" s="796"/>
      <c r="F341" s="796"/>
      <c r="G341" s="796"/>
      <c r="H341" s="796"/>
      <c r="I341" s="796"/>
      <c r="J341" s="796"/>
      <c r="K341" s="796"/>
      <c r="L341" s="796"/>
      <c r="M341" s="796"/>
      <c r="N341" s="796"/>
      <c r="O341" s="796"/>
      <c r="P341" s="796"/>
      <c r="Q341" s="796"/>
      <c r="R341" s="796"/>
      <c r="S341" s="796"/>
      <c r="T341" s="796"/>
      <c r="U341" s="796"/>
      <c r="V341" s="796"/>
      <c r="W341" s="796"/>
      <c r="X341" s="796"/>
      <c r="Y341" s="796"/>
      <c r="Z341" s="796"/>
      <c r="AA341" s="796"/>
      <c r="AB341" s="796" t="s">
        <v>2135</v>
      </c>
      <c r="AC341" s="796" t="s">
        <v>2222</v>
      </c>
      <c r="AD341" s="796" t="s">
        <v>2222</v>
      </c>
      <c r="AE341" s="796"/>
      <c r="AF341" s="796"/>
      <c r="AG341" s="796"/>
      <c r="AH341" s="796"/>
      <c r="AI341" s="796"/>
      <c r="AJ341" s="796"/>
      <c r="AK341" s="796"/>
      <c r="AL341" s="796"/>
      <c r="AM341" s="796"/>
      <c r="AN341" s="796"/>
      <c r="AO341" s="796"/>
      <c r="AP341" s="796"/>
      <c r="AQ341" s="796"/>
      <c r="AR341" s="796"/>
      <c r="AS341" s="796"/>
      <c r="AT341" s="796"/>
      <c r="AU341" s="796"/>
    </row>
    <row r="342" spans="1:47" ht="13.5">
      <c r="A342" s="796"/>
      <c r="B342" s="796"/>
      <c r="C342" s="796"/>
      <c r="D342" s="796"/>
      <c r="E342" s="796"/>
      <c r="F342" s="796"/>
      <c r="G342" s="796"/>
      <c r="H342" s="796"/>
      <c r="I342" s="796"/>
      <c r="J342" s="796"/>
      <c r="K342" s="796"/>
      <c r="L342" s="796"/>
      <c r="M342" s="796"/>
      <c r="N342" s="796"/>
      <c r="O342" s="796"/>
      <c r="P342" s="796"/>
      <c r="Q342" s="796"/>
      <c r="R342" s="796"/>
      <c r="S342" s="796"/>
      <c r="T342" s="796"/>
      <c r="U342" s="796"/>
      <c r="V342" s="796"/>
      <c r="W342" s="796"/>
      <c r="X342" s="796"/>
      <c r="Y342" s="796"/>
      <c r="Z342" s="796"/>
      <c r="AA342" s="796"/>
      <c r="AB342" s="796" t="s">
        <v>2136</v>
      </c>
      <c r="AC342" s="796" t="s">
        <v>2223</v>
      </c>
      <c r="AD342" s="796" t="s">
        <v>2223</v>
      </c>
      <c r="AE342" s="796"/>
      <c r="AF342" s="796"/>
      <c r="AG342" s="796"/>
      <c r="AH342" s="796"/>
      <c r="AI342" s="796"/>
      <c r="AJ342" s="796"/>
      <c r="AK342" s="796"/>
      <c r="AL342" s="796"/>
      <c r="AM342" s="796"/>
      <c r="AN342" s="796"/>
      <c r="AO342" s="796"/>
      <c r="AP342" s="796"/>
      <c r="AQ342" s="796"/>
      <c r="AR342" s="796"/>
      <c r="AS342" s="796"/>
      <c r="AT342" s="796"/>
      <c r="AU342" s="796"/>
    </row>
    <row r="343" spans="1:47" ht="13.5">
      <c r="A343" s="796"/>
      <c r="B343" s="796"/>
      <c r="C343" s="796"/>
      <c r="D343" s="796"/>
      <c r="E343" s="796"/>
      <c r="F343" s="796"/>
      <c r="G343" s="796"/>
      <c r="H343" s="796"/>
      <c r="I343" s="796"/>
      <c r="J343" s="796"/>
      <c r="K343" s="796"/>
      <c r="L343" s="796"/>
      <c r="M343" s="796"/>
      <c r="N343" s="796"/>
      <c r="O343" s="796"/>
      <c r="P343" s="796"/>
      <c r="Q343" s="796"/>
      <c r="R343" s="796"/>
      <c r="S343" s="796"/>
      <c r="T343" s="796"/>
      <c r="U343" s="796"/>
      <c r="V343" s="796"/>
      <c r="W343" s="796"/>
      <c r="X343" s="796"/>
      <c r="Y343" s="796"/>
      <c r="Z343" s="796"/>
      <c r="AA343" s="796"/>
      <c r="AB343" s="796" t="s">
        <v>2137</v>
      </c>
      <c r="AC343" s="796" t="s">
        <v>2222</v>
      </c>
      <c r="AD343" s="796" t="s">
        <v>2223</v>
      </c>
      <c r="AE343" s="796"/>
      <c r="AF343" s="796"/>
      <c r="AG343" s="796"/>
      <c r="AH343" s="796"/>
      <c r="AI343" s="796"/>
      <c r="AJ343" s="796"/>
      <c r="AK343" s="796"/>
      <c r="AL343" s="796"/>
      <c r="AM343" s="796"/>
      <c r="AN343" s="796"/>
      <c r="AO343" s="796"/>
      <c r="AP343" s="796"/>
      <c r="AQ343" s="796"/>
      <c r="AR343" s="796"/>
      <c r="AS343" s="796"/>
      <c r="AT343" s="796"/>
      <c r="AU343" s="796"/>
    </row>
    <row r="344" spans="1:47" ht="13.5">
      <c r="A344" s="796"/>
      <c r="B344" s="796"/>
      <c r="C344" s="796"/>
      <c r="D344" s="796"/>
      <c r="E344" s="796"/>
      <c r="F344" s="796"/>
      <c r="G344" s="796"/>
      <c r="H344" s="796"/>
      <c r="I344" s="796"/>
      <c r="J344" s="796"/>
      <c r="K344" s="796"/>
      <c r="L344" s="796"/>
      <c r="M344" s="796"/>
      <c r="N344" s="796"/>
      <c r="O344" s="796"/>
      <c r="P344" s="796"/>
      <c r="Q344" s="796"/>
      <c r="R344" s="796"/>
      <c r="S344" s="796"/>
      <c r="T344" s="796"/>
      <c r="U344" s="796"/>
      <c r="V344" s="796"/>
      <c r="W344" s="796"/>
      <c r="X344" s="796"/>
      <c r="Y344" s="796"/>
      <c r="Z344" s="796"/>
      <c r="AA344" s="796"/>
      <c r="AB344" s="796" t="s">
        <v>2138</v>
      </c>
      <c r="AC344" s="796" t="s">
        <v>2222</v>
      </c>
      <c r="AD344" s="796" t="s">
        <v>2222</v>
      </c>
      <c r="AE344" s="796"/>
      <c r="AF344" s="796"/>
      <c r="AG344" s="796"/>
      <c r="AH344" s="796"/>
      <c r="AI344" s="796"/>
      <c r="AJ344" s="796"/>
      <c r="AK344" s="796"/>
      <c r="AL344" s="796"/>
      <c r="AM344" s="796"/>
      <c r="AN344" s="796"/>
      <c r="AO344" s="796"/>
      <c r="AP344" s="796"/>
      <c r="AQ344" s="796"/>
      <c r="AR344" s="796"/>
      <c r="AS344" s="796"/>
      <c r="AT344" s="796"/>
      <c r="AU344" s="796"/>
    </row>
    <row r="345" spans="1:47" ht="13.5">
      <c r="A345" s="796"/>
      <c r="B345" s="796"/>
      <c r="C345" s="796"/>
      <c r="D345" s="796"/>
      <c r="E345" s="796"/>
      <c r="F345" s="796"/>
      <c r="G345" s="796"/>
      <c r="H345" s="796"/>
      <c r="I345" s="796"/>
      <c r="J345" s="796"/>
      <c r="K345" s="796"/>
      <c r="L345" s="796"/>
      <c r="M345" s="796"/>
      <c r="N345" s="796"/>
      <c r="O345" s="796"/>
      <c r="P345" s="796"/>
      <c r="Q345" s="796"/>
      <c r="R345" s="796"/>
      <c r="S345" s="796"/>
      <c r="T345" s="796"/>
      <c r="U345" s="796"/>
      <c r="V345" s="796"/>
      <c r="W345" s="796"/>
      <c r="X345" s="796"/>
      <c r="Y345" s="796"/>
      <c r="Z345" s="796"/>
      <c r="AA345" s="796"/>
      <c r="AB345" s="796" t="s">
        <v>2139</v>
      </c>
      <c r="AC345" s="796" t="s">
        <v>2223</v>
      </c>
      <c r="AD345" s="796" t="s">
        <v>2223</v>
      </c>
      <c r="AE345" s="796"/>
      <c r="AF345" s="796"/>
      <c r="AG345" s="796"/>
      <c r="AH345" s="796"/>
      <c r="AI345" s="796"/>
      <c r="AJ345" s="796"/>
      <c r="AK345" s="796"/>
      <c r="AL345" s="796"/>
      <c r="AM345" s="796"/>
      <c r="AN345" s="796"/>
      <c r="AO345" s="796"/>
      <c r="AP345" s="796"/>
      <c r="AQ345" s="796"/>
      <c r="AR345" s="796"/>
      <c r="AS345" s="796"/>
      <c r="AT345" s="796"/>
      <c r="AU345" s="796"/>
    </row>
    <row r="346" spans="1:47" ht="13.5">
      <c r="A346" s="796"/>
      <c r="B346" s="796"/>
      <c r="C346" s="796"/>
      <c r="D346" s="796"/>
      <c r="E346" s="796"/>
      <c r="F346" s="796"/>
      <c r="G346" s="796"/>
      <c r="H346" s="796"/>
      <c r="I346" s="796"/>
      <c r="J346" s="796"/>
      <c r="K346" s="796"/>
      <c r="L346" s="796"/>
      <c r="M346" s="796"/>
      <c r="N346" s="796"/>
      <c r="O346" s="796"/>
      <c r="P346" s="796"/>
      <c r="Q346" s="796"/>
      <c r="R346" s="796"/>
      <c r="S346" s="796"/>
      <c r="T346" s="796"/>
      <c r="U346" s="796"/>
      <c r="V346" s="796"/>
      <c r="W346" s="796"/>
      <c r="X346" s="796"/>
      <c r="Y346" s="796"/>
      <c r="Z346" s="796"/>
      <c r="AA346" s="796"/>
      <c r="AB346" s="796" t="s">
        <v>2140</v>
      </c>
      <c r="AC346" s="796" t="s">
        <v>2224</v>
      </c>
      <c r="AD346" s="796" t="s">
        <v>2224</v>
      </c>
      <c r="AE346" s="796"/>
      <c r="AF346" s="796"/>
      <c r="AG346" s="796"/>
      <c r="AH346" s="796"/>
      <c r="AI346" s="796"/>
      <c r="AJ346" s="796"/>
      <c r="AK346" s="796"/>
      <c r="AL346" s="796"/>
      <c r="AM346" s="796"/>
      <c r="AN346" s="796"/>
      <c r="AO346" s="796"/>
      <c r="AP346" s="796"/>
      <c r="AQ346" s="796"/>
      <c r="AR346" s="796"/>
      <c r="AS346" s="796"/>
      <c r="AT346" s="796"/>
      <c r="AU346" s="796"/>
    </row>
    <row r="347" spans="1:47" ht="13.5">
      <c r="A347" s="796"/>
      <c r="B347" s="796"/>
      <c r="C347" s="796"/>
      <c r="D347" s="796"/>
      <c r="E347" s="796"/>
      <c r="F347" s="796"/>
      <c r="G347" s="796"/>
      <c r="H347" s="796"/>
      <c r="I347" s="796"/>
      <c r="J347" s="796"/>
      <c r="K347" s="796"/>
      <c r="L347" s="796"/>
      <c r="M347" s="796"/>
      <c r="N347" s="796"/>
      <c r="O347" s="796"/>
      <c r="P347" s="796"/>
      <c r="Q347" s="796"/>
      <c r="R347" s="796"/>
      <c r="S347" s="796"/>
      <c r="T347" s="796"/>
      <c r="U347" s="796"/>
      <c r="V347" s="796"/>
      <c r="W347" s="796"/>
      <c r="X347" s="796"/>
      <c r="Y347" s="796"/>
      <c r="Z347" s="796"/>
      <c r="AA347" s="796"/>
      <c r="AB347" s="796" t="s">
        <v>2141</v>
      </c>
      <c r="AC347" s="796" t="s">
        <v>2221</v>
      </c>
      <c r="AD347" s="796" t="s">
        <v>2221</v>
      </c>
      <c r="AE347" s="796"/>
      <c r="AF347" s="796"/>
      <c r="AG347" s="796"/>
      <c r="AH347" s="796"/>
      <c r="AI347" s="796"/>
      <c r="AJ347" s="796"/>
      <c r="AK347" s="796"/>
      <c r="AL347" s="796"/>
      <c r="AM347" s="796"/>
      <c r="AN347" s="796"/>
      <c r="AO347" s="796"/>
      <c r="AP347" s="796"/>
      <c r="AQ347" s="796"/>
      <c r="AR347" s="796"/>
      <c r="AS347" s="796"/>
      <c r="AT347" s="796"/>
      <c r="AU347" s="796"/>
    </row>
    <row r="348" spans="1:47" ht="13.5">
      <c r="A348" s="796"/>
      <c r="B348" s="796"/>
      <c r="C348" s="796"/>
      <c r="D348" s="796"/>
      <c r="E348" s="796"/>
      <c r="F348" s="796"/>
      <c r="G348" s="796"/>
      <c r="H348" s="796"/>
      <c r="I348" s="796"/>
      <c r="J348" s="796"/>
      <c r="K348" s="796"/>
      <c r="L348" s="796"/>
      <c r="M348" s="796"/>
      <c r="N348" s="796"/>
      <c r="O348" s="796"/>
      <c r="P348" s="796"/>
      <c r="Q348" s="796"/>
      <c r="R348" s="796"/>
      <c r="S348" s="796"/>
      <c r="T348" s="796"/>
      <c r="U348" s="796"/>
      <c r="V348" s="796"/>
      <c r="W348" s="796"/>
      <c r="X348" s="796"/>
      <c r="Y348" s="796"/>
      <c r="Z348" s="796"/>
      <c r="AA348" s="796"/>
      <c r="AB348" s="796" t="s">
        <v>2142</v>
      </c>
      <c r="AC348" s="796" t="s">
        <v>2223</v>
      </c>
      <c r="AD348" s="796" t="s">
        <v>2223</v>
      </c>
      <c r="AE348" s="796"/>
      <c r="AF348" s="796"/>
      <c r="AG348" s="796"/>
      <c r="AH348" s="796"/>
      <c r="AI348" s="796"/>
      <c r="AJ348" s="796"/>
      <c r="AK348" s="796"/>
      <c r="AL348" s="796"/>
      <c r="AM348" s="796"/>
      <c r="AN348" s="796"/>
      <c r="AO348" s="796"/>
      <c r="AP348" s="796"/>
      <c r="AQ348" s="796"/>
      <c r="AR348" s="796"/>
      <c r="AS348" s="796"/>
      <c r="AT348" s="796"/>
      <c r="AU348" s="796"/>
    </row>
    <row r="349" spans="1:47" ht="13.5">
      <c r="A349" s="796"/>
      <c r="B349" s="796"/>
      <c r="C349" s="796"/>
      <c r="D349" s="796"/>
      <c r="E349" s="796"/>
      <c r="F349" s="796"/>
      <c r="G349" s="796"/>
      <c r="H349" s="796"/>
      <c r="I349" s="796"/>
      <c r="J349" s="796"/>
      <c r="K349" s="796"/>
      <c r="L349" s="796"/>
      <c r="M349" s="796"/>
      <c r="N349" s="796"/>
      <c r="O349" s="796"/>
      <c r="P349" s="796"/>
      <c r="Q349" s="796"/>
      <c r="R349" s="796"/>
      <c r="S349" s="796"/>
      <c r="T349" s="796"/>
      <c r="U349" s="796"/>
      <c r="V349" s="796"/>
      <c r="W349" s="796"/>
      <c r="X349" s="796"/>
      <c r="Y349" s="796"/>
      <c r="Z349" s="796"/>
      <c r="AA349" s="796"/>
      <c r="AB349" s="796" t="s">
        <v>2143</v>
      </c>
      <c r="AC349" s="796" t="s">
        <v>2222</v>
      </c>
      <c r="AD349" s="796" t="s">
        <v>2222</v>
      </c>
      <c r="AE349" s="796"/>
      <c r="AF349" s="796"/>
      <c r="AG349" s="796"/>
      <c r="AH349" s="796"/>
      <c r="AI349" s="796"/>
      <c r="AJ349" s="796"/>
      <c r="AK349" s="796"/>
      <c r="AL349" s="796"/>
      <c r="AM349" s="796"/>
      <c r="AN349" s="796"/>
      <c r="AO349" s="796"/>
      <c r="AP349" s="796"/>
      <c r="AQ349" s="796"/>
      <c r="AR349" s="796"/>
      <c r="AS349" s="796"/>
      <c r="AT349" s="796"/>
      <c r="AU349" s="796"/>
    </row>
    <row r="350" spans="1:47" ht="13.5">
      <c r="A350" s="796"/>
      <c r="B350" s="796"/>
      <c r="C350" s="796"/>
      <c r="D350" s="796"/>
      <c r="E350" s="796"/>
      <c r="F350" s="796"/>
      <c r="G350" s="796"/>
      <c r="H350" s="796"/>
      <c r="I350" s="796"/>
      <c r="J350" s="796"/>
      <c r="K350" s="796"/>
      <c r="L350" s="796"/>
      <c r="M350" s="796"/>
      <c r="N350" s="796"/>
      <c r="O350" s="796"/>
      <c r="P350" s="796"/>
      <c r="Q350" s="796"/>
      <c r="R350" s="796"/>
      <c r="S350" s="796"/>
      <c r="T350" s="796"/>
      <c r="U350" s="796"/>
      <c r="V350" s="796"/>
      <c r="W350" s="796"/>
      <c r="X350" s="796"/>
      <c r="Y350" s="796"/>
      <c r="Z350" s="796"/>
      <c r="AA350" s="796"/>
      <c r="AB350" s="796" t="s">
        <v>2144</v>
      </c>
      <c r="AC350" s="796" t="s">
        <v>2222</v>
      </c>
      <c r="AD350" s="796" t="s">
        <v>2222</v>
      </c>
      <c r="AE350" s="796"/>
      <c r="AF350" s="796"/>
      <c r="AG350" s="796"/>
      <c r="AH350" s="796"/>
      <c r="AI350" s="796"/>
      <c r="AJ350" s="796"/>
      <c r="AK350" s="796"/>
      <c r="AL350" s="796"/>
      <c r="AM350" s="796"/>
      <c r="AN350" s="796"/>
      <c r="AO350" s="796"/>
      <c r="AP350" s="796"/>
      <c r="AQ350" s="796"/>
      <c r="AR350" s="796"/>
      <c r="AS350" s="796"/>
      <c r="AT350" s="796"/>
      <c r="AU350" s="796"/>
    </row>
    <row r="351" spans="1:47" ht="13.5">
      <c r="A351" s="796"/>
      <c r="B351" s="796"/>
      <c r="C351" s="796"/>
      <c r="D351" s="796"/>
      <c r="E351" s="796"/>
      <c r="F351" s="796"/>
      <c r="G351" s="796"/>
      <c r="H351" s="796"/>
      <c r="I351" s="796"/>
      <c r="J351" s="796"/>
      <c r="K351" s="796"/>
      <c r="L351" s="796"/>
      <c r="M351" s="796"/>
      <c r="N351" s="796"/>
      <c r="O351" s="796"/>
      <c r="P351" s="796"/>
      <c r="Q351" s="796"/>
      <c r="R351" s="796"/>
      <c r="S351" s="796"/>
      <c r="T351" s="796"/>
      <c r="U351" s="796"/>
      <c r="V351" s="796"/>
      <c r="W351" s="796"/>
      <c r="X351" s="796"/>
      <c r="Y351" s="796"/>
      <c r="Z351" s="796"/>
      <c r="AA351" s="796"/>
      <c r="AB351" s="796" t="s">
        <v>2145</v>
      </c>
      <c r="AC351" s="796" t="s">
        <v>2224</v>
      </c>
      <c r="AD351" s="796" t="s">
        <v>2224</v>
      </c>
      <c r="AE351" s="796"/>
      <c r="AF351" s="796"/>
      <c r="AG351" s="796"/>
      <c r="AH351" s="796"/>
      <c r="AI351" s="796"/>
      <c r="AJ351" s="796"/>
      <c r="AK351" s="796"/>
      <c r="AL351" s="796"/>
      <c r="AM351" s="796"/>
      <c r="AN351" s="796"/>
      <c r="AO351" s="796"/>
      <c r="AP351" s="796"/>
      <c r="AQ351" s="796"/>
      <c r="AR351" s="796"/>
      <c r="AS351" s="796"/>
      <c r="AT351" s="796"/>
      <c r="AU351" s="796"/>
    </row>
    <row r="352" spans="1:47" ht="13.5">
      <c r="A352" s="796"/>
      <c r="B352" s="796"/>
      <c r="C352" s="796"/>
      <c r="D352" s="796"/>
      <c r="E352" s="796"/>
      <c r="F352" s="796"/>
      <c r="G352" s="796"/>
      <c r="H352" s="796"/>
      <c r="I352" s="796"/>
      <c r="J352" s="796"/>
      <c r="K352" s="796"/>
      <c r="L352" s="796"/>
      <c r="M352" s="796"/>
      <c r="N352" s="796"/>
      <c r="O352" s="796"/>
      <c r="P352" s="796"/>
      <c r="Q352" s="796"/>
      <c r="R352" s="796"/>
      <c r="S352" s="796"/>
      <c r="T352" s="796"/>
      <c r="U352" s="796"/>
      <c r="V352" s="796"/>
      <c r="W352" s="796"/>
      <c r="X352" s="796"/>
      <c r="Y352" s="796"/>
      <c r="Z352" s="796"/>
      <c r="AA352" s="796"/>
      <c r="AB352" s="796" t="s">
        <v>2146</v>
      </c>
      <c r="AC352" s="796" t="s">
        <v>2221</v>
      </c>
      <c r="AD352" s="796" t="s">
        <v>2222</v>
      </c>
      <c r="AE352" s="796"/>
      <c r="AF352" s="796"/>
      <c r="AG352" s="796"/>
      <c r="AH352" s="796"/>
      <c r="AI352" s="796"/>
      <c r="AJ352" s="796"/>
      <c r="AK352" s="796"/>
      <c r="AL352" s="796"/>
      <c r="AM352" s="796"/>
      <c r="AN352" s="796"/>
      <c r="AO352" s="796"/>
      <c r="AP352" s="796"/>
      <c r="AQ352" s="796"/>
      <c r="AR352" s="796"/>
      <c r="AS352" s="796"/>
      <c r="AT352" s="796"/>
      <c r="AU352" s="796"/>
    </row>
    <row r="353" spans="1:47" ht="13.5">
      <c r="A353" s="796"/>
      <c r="B353" s="796"/>
      <c r="C353" s="796"/>
      <c r="D353" s="796"/>
      <c r="E353" s="796"/>
      <c r="F353" s="796"/>
      <c r="G353" s="796"/>
      <c r="H353" s="796"/>
      <c r="I353" s="796"/>
      <c r="J353" s="796"/>
      <c r="K353" s="796"/>
      <c r="L353" s="796"/>
      <c r="M353" s="796"/>
      <c r="N353" s="796"/>
      <c r="O353" s="796"/>
      <c r="P353" s="796"/>
      <c r="Q353" s="796"/>
      <c r="R353" s="796"/>
      <c r="S353" s="796"/>
      <c r="T353" s="796"/>
      <c r="U353" s="796"/>
      <c r="V353" s="796"/>
      <c r="W353" s="796"/>
      <c r="X353" s="796"/>
      <c r="Y353" s="796"/>
      <c r="Z353" s="796"/>
      <c r="AA353" s="796"/>
      <c r="AB353" s="796" t="s">
        <v>2147</v>
      </c>
      <c r="AC353" s="796" t="s">
        <v>2222</v>
      </c>
      <c r="AD353" s="796" t="s">
        <v>2222</v>
      </c>
      <c r="AE353" s="796"/>
      <c r="AF353" s="796"/>
      <c r="AG353" s="796"/>
      <c r="AH353" s="796"/>
      <c r="AI353" s="796"/>
      <c r="AJ353" s="796"/>
      <c r="AK353" s="796"/>
      <c r="AL353" s="796"/>
      <c r="AM353" s="796"/>
      <c r="AN353" s="796"/>
      <c r="AO353" s="796"/>
      <c r="AP353" s="796"/>
      <c r="AQ353" s="796"/>
      <c r="AR353" s="796"/>
      <c r="AS353" s="796"/>
      <c r="AT353" s="796"/>
      <c r="AU353" s="796"/>
    </row>
    <row r="354" spans="1:47" ht="13.5">
      <c r="A354" s="796"/>
      <c r="B354" s="796"/>
      <c r="C354" s="796"/>
      <c r="D354" s="796"/>
      <c r="E354" s="796"/>
      <c r="F354" s="796"/>
      <c r="G354" s="796"/>
      <c r="H354" s="796"/>
      <c r="I354" s="796"/>
      <c r="J354" s="796"/>
      <c r="K354" s="796"/>
      <c r="L354" s="796"/>
      <c r="M354" s="796"/>
      <c r="N354" s="796"/>
      <c r="O354" s="796"/>
      <c r="P354" s="796"/>
      <c r="Q354" s="796"/>
      <c r="R354" s="796"/>
      <c r="S354" s="796"/>
      <c r="T354" s="796"/>
      <c r="U354" s="796"/>
      <c r="V354" s="796"/>
      <c r="W354" s="796"/>
      <c r="X354" s="796"/>
      <c r="Y354" s="796"/>
      <c r="Z354" s="796"/>
      <c r="AA354" s="796"/>
      <c r="AB354" s="796" t="s">
        <v>2148</v>
      </c>
      <c r="AC354" s="796" t="s">
        <v>2221</v>
      </c>
      <c r="AD354" s="796" t="s">
        <v>2221</v>
      </c>
      <c r="AE354" s="796"/>
      <c r="AF354" s="796"/>
      <c r="AG354" s="796"/>
      <c r="AH354" s="796"/>
      <c r="AI354" s="796"/>
      <c r="AJ354" s="796"/>
      <c r="AK354" s="796"/>
      <c r="AL354" s="796"/>
      <c r="AM354" s="796"/>
      <c r="AN354" s="796"/>
      <c r="AO354" s="796"/>
      <c r="AP354" s="796"/>
      <c r="AQ354" s="796"/>
      <c r="AR354" s="796"/>
      <c r="AS354" s="796"/>
      <c r="AT354" s="796"/>
      <c r="AU354" s="796"/>
    </row>
    <row r="355" spans="1:47" ht="13.5">
      <c r="A355" s="796"/>
      <c r="B355" s="796"/>
      <c r="C355" s="796"/>
      <c r="D355" s="796"/>
      <c r="E355" s="796"/>
      <c r="F355" s="796"/>
      <c r="G355" s="796"/>
      <c r="H355" s="796"/>
      <c r="I355" s="796"/>
      <c r="J355" s="796"/>
      <c r="K355" s="796"/>
      <c r="L355" s="796"/>
      <c r="M355" s="796"/>
      <c r="N355" s="796"/>
      <c r="O355" s="796"/>
      <c r="P355" s="796"/>
      <c r="Q355" s="796"/>
      <c r="R355" s="796"/>
      <c r="S355" s="796"/>
      <c r="T355" s="796"/>
      <c r="U355" s="796"/>
      <c r="V355" s="796"/>
      <c r="W355" s="796"/>
      <c r="X355" s="796"/>
      <c r="Y355" s="796"/>
      <c r="Z355" s="796"/>
      <c r="AA355" s="796"/>
      <c r="AB355" s="796" t="s">
        <v>2149</v>
      </c>
      <c r="AC355" s="796" t="s">
        <v>2222</v>
      </c>
      <c r="AD355" s="796" t="s">
        <v>2223</v>
      </c>
      <c r="AE355" s="796"/>
      <c r="AF355" s="796"/>
      <c r="AG355" s="796"/>
      <c r="AH355" s="796"/>
      <c r="AI355" s="796"/>
      <c r="AJ355" s="796"/>
      <c r="AK355" s="796"/>
      <c r="AL355" s="796"/>
      <c r="AM355" s="796"/>
      <c r="AN355" s="796"/>
      <c r="AO355" s="796"/>
      <c r="AP355" s="796"/>
      <c r="AQ355" s="796"/>
      <c r="AR355" s="796"/>
      <c r="AS355" s="796"/>
      <c r="AT355" s="796"/>
      <c r="AU355" s="796"/>
    </row>
    <row r="356" spans="1:47" ht="13.5">
      <c r="A356" s="796"/>
      <c r="B356" s="796"/>
      <c r="C356" s="796"/>
      <c r="D356" s="796"/>
      <c r="E356" s="796"/>
      <c r="F356" s="796"/>
      <c r="G356" s="796"/>
      <c r="H356" s="796"/>
      <c r="I356" s="796"/>
      <c r="J356" s="796"/>
      <c r="K356" s="796"/>
      <c r="L356" s="796"/>
      <c r="M356" s="796"/>
      <c r="N356" s="796"/>
      <c r="O356" s="796"/>
      <c r="P356" s="796"/>
      <c r="Q356" s="796"/>
      <c r="R356" s="796"/>
      <c r="S356" s="796"/>
      <c r="T356" s="796"/>
      <c r="U356" s="796"/>
      <c r="V356" s="796"/>
      <c r="W356" s="796"/>
      <c r="X356" s="796"/>
      <c r="Y356" s="796"/>
      <c r="Z356" s="796"/>
      <c r="AA356" s="796"/>
      <c r="AB356" s="796" t="s">
        <v>2150</v>
      </c>
      <c r="AC356" s="796" t="s">
        <v>2223</v>
      </c>
      <c r="AD356" s="796" t="s">
        <v>2223</v>
      </c>
      <c r="AE356" s="796"/>
      <c r="AF356" s="796"/>
      <c r="AG356" s="796"/>
      <c r="AH356" s="796"/>
      <c r="AI356" s="796"/>
      <c r="AJ356" s="796"/>
      <c r="AK356" s="796"/>
      <c r="AL356" s="796"/>
      <c r="AM356" s="796"/>
      <c r="AN356" s="796"/>
      <c r="AO356" s="796"/>
      <c r="AP356" s="796"/>
      <c r="AQ356" s="796"/>
      <c r="AR356" s="796"/>
      <c r="AS356" s="796"/>
      <c r="AT356" s="796"/>
      <c r="AU356" s="796"/>
    </row>
    <row r="357" spans="1:47" ht="13.5">
      <c r="A357" s="796"/>
      <c r="B357" s="796"/>
      <c r="C357" s="796"/>
      <c r="D357" s="796"/>
      <c r="E357" s="796"/>
      <c r="F357" s="796"/>
      <c r="G357" s="796"/>
      <c r="H357" s="796"/>
      <c r="I357" s="796"/>
      <c r="J357" s="796"/>
      <c r="K357" s="796"/>
      <c r="L357" s="796"/>
      <c r="M357" s="796"/>
      <c r="N357" s="796"/>
      <c r="O357" s="796"/>
      <c r="P357" s="796"/>
      <c r="Q357" s="796"/>
      <c r="R357" s="796"/>
      <c r="S357" s="796"/>
      <c r="T357" s="796"/>
      <c r="U357" s="796"/>
      <c r="V357" s="796"/>
      <c r="W357" s="796"/>
      <c r="X357" s="796"/>
      <c r="Y357" s="796"/>
      <c r="Z357" s="796"/>
      <c r="AA357" s="796"/>
      <c r="AB357" s="796" t="s">
        <v>2151</v>
      </c>
      <c r="AC357" s="796" t="s">
        <v>2223</v>
      </c>
      <c r="AD357" s="796" t="s">
        <v>2223</v>
      </c>
      <c r="AE357" s="796"/>
      <c r="AF357" s="796"/>
      <c r="AG357" s="796"/>
      <c r="AH357" s="796"/>
      <c r="AI357" s="796"/>
      <c r="AJ357" s="796"/>
      <c r="AK357" s="796"/>
      <c r="AL357" s="796"/>
      <c r="AM357" s="796"/>
      <c r="AN357" s="796"/>
      <c r="AO357" s="796"/>
      <c r="AP357" s="796"/>
      <c r="AQ357" s="796"/>
      <c r="AR357" s="796"/>
      <c r="AS357" s="796"/>
      <c r="AT357" s="796"/>
      <c r="AU357" s="796"/>
    </row>
    <row r="358" spans="1:47" ht="13.5">
      <c r="A358" s="796"/>
      <c r="B358" s="796"/>
      <c r="C358" s="796"/>
      <c r="D358" s="796"/>
      <c r="E358" s="796"/>
      <c r="F358" s="796"/>
      <c r="G358" s="796"/>
      <c r="H358" s="796"/>
      <c r="I358" s="796"/>
      <c r="J358" s="796"/>
      <c r="K358" s="796"/>
      <c r="L358" s="796"/>
      <c r="M358" s="796"/>
      <c r="N358" s="796"/>
      <c r="O358" s="796"/>
      <c r="P358" s="796"/>
      <c r="Q358" s="796"/>
      <c r="R358" s="796"/>
      <c r="S358" s="796"/>
      <c r="T358" s="796"/>
      <c r="U358" s="796"/>
      <c r="V358" s="796"/>
      <c r="W358" s="796"/>
      <c r="X358" s="796"/>
      <c r="Y358" s="796"/>
      <c r="Z358" s="796"/>
      <c r="AA358" s="796"/>
      <c r="AB358" s="796" t="s">
        <v>2152</v>
      </c>
      <c r="AC358" s="796" t="s">
        <v>2223</v>
      </c>
      <c r="AD358" s="796" t="s">
        <v>2223</v>
      </c>
      <c r="AE358" s="796"/>
      <c r="AF358" s="796"/>
      <c r="AG358" s="796"/>
      <c r="AH358" s="796"/>
      <c r="AI358" s="796"/>
      <c r="AJ358" s="796"/>
      <c r="AK358" s="796"/>
      <c r="AL358" s="796"/>
      <c r="AM358" s="796"/>
      <c r="AN358" s="796"/>
      <c r="AO358" s="796"/>
      <c r="AP358" s="796"/>
      <c r="AQ358" s="796"/>
      <c r="AR358" s="796"/>
      <c r="AS358" s="796"/>
      <c r="AT358" s="796"/>
      <c r="AU358" s="796"/>
    </row>
    <row r="359" spans="1:47" ht="13.5">
      <c r="A359" s="796"/>
      <c r="B359" s="796"/>
      <c r="C359" s="796"/>
      <c r="D359" s="796"/>
      <c r="E359" s="796"/>
      <c r="F359" s="796"/>
      <c r="G359" s="796"/>
      <c r="H359" s="796"/>
      <c r="I359" s="796"/>
      <c r="J359" s="796"/>
      <c r="K359" s="796"/>
      <c r="L359" s="796"/>
      <c r="M359" s="796"/>
      <c r="N359" s="796"/>
      <c r="O359" s="796"/>
      <c r="P359" s="796"/>
      <c r="Q359" s="796"/>
      <c r="R359" s="796"/>
      <c r="S359" s="796"/>
      <c r="T359" s="796"/>
      <c r="U359" s="796"/>
      <c r="V359" s="796"/>
      <c r="W359" s="796"/>
      <c r="X359" s="796"/>
      <c r="Y359" s="796"/>
      <c r="Z359" s="796"/>
      <c r="AA359" s="796"/>
      <c r="AB359" s="796" t="s">
        <v>2153</v>
      </c>
      <c r="AC359" s="796" t="s">
        <v>2223</v>
      </c>
      <c r="AD359" s="796" t="s">
        <v>2223</v>
      </c>
      <c r="AE359" s="796"/>
      <c r="AF359" s="796"/>
      <c r="AG359" s="796"/>
      <c r="AH359" s="796"/>
      <c r="AI359" s="796"/>
      <c r="AJ359" s="796"/>
      <c r="AK359" s="796"/>
      <c r="AL359" s="796"/>
      <c r="AM359" s="796"/>
      <c r="AN359" s="796"/>
      <c r="AO359" s="796"/>
      <c r="AP359" s="796"/>
      <c r="AQ359" s="796"/>
      <c r="AR359" s="796"/>
      <c r="AS359" s="796"/>
      <c r="AT359" s="796"/>
      <c r="AU359" s="796"/>
    </row>
    <row r="360" spans="1:47" ht="13.5">
      <c r="A360" s="796"/>
      <c r="B360" s="796"/>
      <c r="C360" s="796"/>
      <c r="D360" s="796"/>
      <c r="E360" s="796"/>
      <c r="F360" s="796"/>
      <c r="G360" s="796"/>
      <c r="H360" s="796"/>
      <c r="I360" s="796"/>
      <c r="J360" s="796"/>
      <c r="K360" s="796"/>
      <c r="L360" s="796"/>
      <c r="M360" s="796"/>
      <c r="N360" s="796"/>
      <c r="O360" s="796"/>
      <c r="P360" s="796"/>
      <c r="Q360" s="796"/>
      <c r="R360" s="796"/>
      <c r="S360" s="796"/>
      <c r="T360" s="796"/>
      <c r="U360" s="796"/>
      <c r="V360" s="796"/>
      <c r="W360" s="796"/>
      <c r="X360" s="796"/>
      <c r="Y360" s="796"/>
      <c r="Z360" s="796"/>
      <c r="AA360" s="796"/>
      <c r="AB360" s="796" t="s">
        <v>2154</v>
      </c>
      <c r="AC360" s="796" t="s">
        <v>2223</v>
      </c>
      <c r="AD360" s="796" t="s">
        <v>2223</v>
      </c>
      <c r="AE360" s="796"/>
      <c r="AF360" s="796"/>
      <c r="AG360" s="796"/>
      <c r="AH360" s="796"/>
      <c r="AI360" s="796"/>
      <c r="AJ360" s="796"/>
      <c r="AK360" s="796"/>
      <c r="AL360" s="796"/>
      <c r="AM360" s="796"/>
      <c r="AN360" s="796"/>
      <c r="AO360" s="796"/>
      <c r="AP360" s="796"/>
      <c r="AQ360" s="796"/>
      <c r="AR360" s="796"/>
      <c r="AS360" s="796"/>
      <c r="AT360" s="796"/>
      <c r="AU360" s="796"/>
    </row>
    <row r="361" spans="1:47" ht="13.5">
      <c r="AB361" s="796" t="s">
        <v>2155</v>
      </c>
      <c r="AC361" s="796" t="s">
        <v>2222</v>
      </c>
      <c r="AD361" s="796" t="s">
        <v>2223</v>
      </c>
    </row>
  </sheetData>
  <mergeCells count="16">
    <mergeCell ref="B1:C1"/>
    <mergeCell ref="E1:F1"/>
    <mergeCell ref="H1:I1"/>
    <mergeCell ref="K1:L1"/>
    <mergeCell ref="N1:O1"/>
    <mergeCell ref="Q1:R1"/>
    <mergeCell ref="T1:U1"/>
    <mergeCell ref="W1:X1"/>
    <mergeCell ref="Z1:AA1"/>
    <mergeCell ref="AC1:AD1"/>
    <mergeCell ref="AU1:AV1"/>
    <mergeCell ref="AF1:AG1"/>
    <mergeCell ref="AI1:AJ1"/>
    <mergeCell ref="AL1:AM1"/>
    <mergeCell ref="AO1:AP1"/>
    <mergeCell ref="AR1:AS1"/>
  </mergeCell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&amp;CSeite &amp;P</oddFooter>
  </headerFooter>
</worksheet>
</file>

<file path=xl/worksheets/sheet2.xml><?xml version="1.0" encoding="utf-8"?>
<worksheet xmlns="http://schemas.openxmlformats.org/spreadsheetml/2006/main" xmlns:r="http://schemas.openxmlformats.org/officeDocument/2006/relationships">
  <dimension ref="A1:N181"/>
  <sheetViews>
    <sheetView topLeftCell="A88" zoomScaleNormal="100" workbookViewId="0">
      <selection activeCell="B31" sqref="B31"/>
    </sheetView>
  </sheetViews>
  <sheetFormatPr baseColWidth="10" defaultColWidth="11.5703125" defaultRowHeight="12.75"/>
  <cols>
    <col min="1" max="1" width="45.7109375" customWidth="1"/>
    <col min="2" max="2" width="12.5703125" customWidth="1"/>
    <col min="3" max="4" width="10.5703125" customWidth="1"/>
    <col min="5" max="5" width="13.140625" customWidth="1"/>
    <col min="6" max="10" width="10.5703125" customWidth="1"/>
    <col min="11" max="11" width="15.28515625" customWidth="1"/>
    <col min="12" max="64" width="10.5703125" customWidth="1"/>
  </cols>
  <sheetData>
    <row r="1" spans="1:14" ht="90" customHeight="1">
      <c r="A1" s="1950" t="s">
        <v>7</v>
      </c>
      <c r="B1" s="1950"/>
      <c r="C1" s="1950"/>
      <c r="D1" s="1950"/>
      <c r="E1" s="1950"/>
      <c r="F1" s="1950"/>
      <c r="G1" s="1950"/>
      <c r="H1" s="1950"/>
      <c r="I1" s="1950"/>
      <c r="J1" s="1950"/>
      <c r="K1" s="3"/>
      <c r="L1" s="3"/>
    </row>
    <row r="2" spans="1:14" ht="23.25">
      <c r="A2" s="1951" t="s">
        <v>8</v>
      </c>
      <c r="B2" s="1951"/>
      <c r="C2" s="1951"/>
      <c r="D2" s="1951"/>
      <c r="E2" s="1951"/>
      <c r="F2" s="1951"/>
      <c r="G2" s="1951"/>
      <c r="H2" s="1951"/>
      <c r="I2" s="1951"/>
      <c r="J2" s="1951"/>
      <c r="K2" s="4"/>
      <c r="L2" s="5"/>
    </row>
    <row r="3" spans="1:14" ht="12.75" customHeight="1">
      <c r="A3" s="1952" t="s">
        <v>9</v>
      </c>
      <c r="B3" s="1952"/>
      <c r="C3" s="1952"/>
      <c r="D3" s="1952"/>
      <c r="E3" s="1952"/>
      <c r="F3" s="1952"/>
      <c r="G3" s="1952"/>
      <c r="H3" s="1953" t="s">
        <v>2443</v>
      </c>
      <c r="I3" s="1953"/>
      <c r="J3" s="1953"/>
      <c r="K3" s="6"/>
      <c r="L3" s="7"/>
      <c r="N3" s="8"/>
    </row>
    <row r="4" spans="1:14" ht="51" customHeight="1">
      <c r="A4" s="1952"/>
      <c r="B4" s="1952"/>
      <c r="C4" s="1952"/>
      <c r="D4" s="1952"/>
      <c r="E4" s="1952"/>
      <c r="F4" s="1952"/>
      <c r="G4" s="1952"/>
      <c r="H4" s="1953"/>
      <c r="I4" s="1953"/>
      <c r="J4" s="1953"/>
      <c r="K4" s="6"/>
      <c r="L4" s="7"/>
    </row>
    <row r="5" spans="1:14" ht="6" customHeight="1">
      <c r="A5" s="9"/>
      <c r="B5" s="10"/>
      <c r="C5" s="11"/>
      <c r="D5" s="12"/>
      <c r="E5" s="13"/>
      <c r="F5" s="14"/>
      <c r="G5" s="15"/>
      <c r="H5" s="16"/>
      <c r="I5" s="17"/>
      <c r="J5" s="17"/>
      <c r="K5" s="17"/>
      <c r="L5" s="15"/>
    </row>
    <row r="6" spans="1:14" ht="14.65" hidden="1" customHeight="1">
      <c r="A6" s="18"/>
      <c r="B6" s="10"/>
      <c r="C6" s="11"/>
      <c r="D6" s="12"/>
      <c r="E6" s="19"/>
      <c r="F6" s="20"/>
      <c r="G6" s="15"/>
      <c r="H6" s="1944" t="s">
        <v>10</v>
      </c>
      <c r="I6" s="1944"/>
      <c r="J6" s="1944"/>
      <c r="K6" s="1944"/>
      <c r="L6" s="1944"/>
    </row>
    <row r="7" spans="1:14" ht="14.65" hidden="1" customHeight="1">
      <c r="A7" s="18"/>
      <c r="B7" s="10"/>
      <c r="C7" s="11"/>
      <c r="D7" s="12"/>
      <c r="E7" s="19"/>
      <c r="F7" s="21"/>
      <c r="G7" s="22"/>
      <c r="H7" s="1944" t="s">
        <v>11</v>
      </c>
      <c r="I7" s="1944"/>
      <c r="J7" s="1944"/>
      <c r="K7" s="1944"/>
      <c r="L7" s="1944"/>
    </row>
    <row r="8" spans="1:14" ht="14.65" hidden="1" customHeight="1">
      <c r="A8" s="23"/>
      <c r="B8" s="10"/>
      <c r="C8" s="11"/>
      <c r="D8" s="12"/>
      <c r="E8" s="19"/>
      <c r="F8" s="21"/>
      <c r="G8" s="22"/>
      <c r="H8" s="1944" t="s">
        <v>12</v>
      </c>
      <c r="I8" s="1944"/>
      <c r="J8" s="1944"/>
      <c r="K8" s="1944"/>
      <c r="L8" s="1944"/>
    </row>
    <row r="9" spans="1:14" ht="1.5" customHeight="1">
      <c r="A9" s="24"/>
      <c r="B9" s="25"/>
      <c r="C9" s="26"/>
      <c r="D9" s="20"/>
      <c r="E9" s="20"/>
      <c r="F9" s="21"/>
      <c r="G9" s="22"/>
      <c r="H9" s="1944" t="s">
        <v>13</v>
      </c>
      <c r="I9" s="1944"/>
      <c r="J9" s="1944"/>
      <c r="K9" s="1944"/>
      <c r="L9" s="1944"/>
    </row>
    <row r="10" spans="1:14" ht="18" customHeight="1">
      <c r="A10" s="1945" t="s">
        <v>14</v>
      </c>
      <c r="B10" s="1945"/>
      <c r="C10" s="1945"/>
      <c r="D10" s="1946"/>
      <c r="E10" s="1947" t="s">
        <v>15</v>
      </c>
      <c r="F10" s="1947"/>
      <c r="G10" s="1947"/>
      <c r="H10" s="1936" t="s">
        <v>16</v>
      </c>
      <c r="I10" s="1936"/>
      <c r="J10" s="1936"/>
      <c r="K10" s="28"/>
      <c r="L10" s="29"/>
    </row>
    <row r="11" spans="1:14" ht="18">
      <c r="A11" s="1945"/>
      <c r="B11" s="1945"/>
      <c r="C11" s="1945"/>
      <c r="D11" s="1946"/>
      <c r="E11" s="1947"/>
      <c r="F11" s="1947"/>
      <c r="G11" s="1947"/>
      <c r="H11" s="1948"/>
      <c r="I11" s="1948"/>
      <c r="J11" s="1948"/>
      <c r="K11" s="28"/>
      <c r="L11" s="29"/>
    </row>
    <row r="12" spans="1:14" ht="12.6" customHeight="1">
      <c r="A12" s="1945"/>
      <c r="B12" s="1945"/>
      <c r="C12" s="1945"/>
      <c r="D12" s="1946"/>
      <c r="E12" s="1947"/>
      <c r="F12" s="1947"/>
      <c r="G12" s="1947"/>
      <c r="H12" s="1948"/>
      <c r="I12" s="1948"/>
      <c r="J12" s="1948"/>
      <c r="K12" s="28"/>
      <c r="L12" s="29"/>
    </row>
    <row r="13" spans="1:14" ht="33.6" customHeight="1">
      <c r="A13" s="1945"/>
      <c r="B13" s="1945"/>
      <c r="C13" s="1945"/>
      <c r="D13" s="1946"/>
      <c r="E13" s="1947"/>
      <c r="F13" s="1947"/>
      <c r="G13" s="1947"/>
      <c r="H13" s="1949">
        <v>44774</v>
      </c>
      <c r="I13" s="1949"/>
      <c r="J13" s="1949"/>
      <c r="K13" s="30"/>
      <c r="L13" s="29"/>
    </row>
    <row r="14" spans="1:14">
      <c r="A14" s="31"/>
      <c r="B14" s="31"/>
      <c r="C14" s="32"/>
      <c r="D14" s="20"/>
      <c r="E14" s="20"/>
      <c r="F14" s="33"/>
      <c r="G14" s="16"/>
      <c r="H14" s="34"/>
      <c r="I14" s="34"/>
      <c r="J14" s="35"/>
      <c r="K14" s="36"/>
      <c r="L14" s="16"/>
    </row>
    <row r="15" spans="1:14" ht="20.25">
      <c r="A15" s="1939" t="str">
        <f>IF(C$16&lt;M$23,"Zahl der Personen in Zelle C10 falsch!","")</f>
        <v/>
      </c>
      <c r="B15" s="1939"/>
      <c r="C15" s="1939"/>
      <c r="D15" s="1939"/>
      <c r="E15" s="1939"/>
      <c r="F15" s="1936"/>
      <c r="G15" s="1936"/>
      <c r="H15" s="1936"/>
      <c r="I15" s="1936"/>
      <c r="J15" s="1936"/>
      <c r="K15" s="1940"/>
      <c r="L15" s="1940"/>
    </row>
    <row r="16" spans="1:14" ht="21.75" customHeight="1">
      <c r="A16" s="1941" t="s">
        <v>17</v>
      </c>
      <c r="B16" s="1941"/>
      <c r="C16" s="38">
        <f>Zusatzeingaben!B6</f>
        <v>1</v>
      </c>
      <c r="D16" s="39" t="s">
        <v>18</v>
      </c>
      <c r="E16" s="40"/>
      <c r="F16" s="1942" t="s">
        <v>19</v>
      </c>
      <c r="G16" s="1942"/>
      <c r="H16" s="1943">
        <f>H13</f>
        <v>44774</v>
      </c>
      <c r="I16" s="1943"/>
      <c r="J16" s="27"/>
      <c r="K16" s="37"/>
      <c r="L16" s="26"/>
    </row>
    <row r="17" spans="1:12" ht="12" customHeight="1">
      <c r="A17" s="1934" t="s">
        <v>20</v>
      </c>
      <c r="B17" s="1934"/>
      <c r="C17" s="1935"/>
      <c r="D17" s="1936" t="s">
        <v>18</v>
      </c>
      <c r="E17" s="41"/>
      <c r="F17" s="27"/>
      <c r="G17" s="27"/>
      <c r="H17" s="27"/>
      <c r="I17" s="27"/>
      <c r="J17" s="27"/>
      <c r="K17" s="37"/>
      <c r="L17" s="26"/>
    </row>
    <row r="18" spans="1:12" ht="20.25">
      <c r="A18" s="1934"/>
      <c r="B18" s="1934"/>
      <c r="C18" s="1935"/>
      <c r="D18" s="1936"/>
      <c r="E18" s="41"/>
      <c r="F18" s="27"/>
      <c r="G18" s="27"/>
      <c r="H18" s="27"/>
      <c r="I18" s="27"/>
      <c r="J18" s="27"/>
      <c r="K18" s="37"/>
      <c r="L18" s="26"/>
    </row>
    <row r="19" spans="1:12" ht="20.25">
      <c r="A19" s="1937"/>
      <c r="B19" s="1937"/>
      <c r="C19" s="1937"/>
      <c r="D19" s="1938"/>
      <c r="E19" s="1938"/>
      <c r="F19" s="1929" t="s">
        <v>21</v>
      </c>
      <c r="G19" s="1929"/>
      <c r="H19" s="1929"/>
      <c r="I19" s="1929"/>
      <c r="J19" s="1929"/>
      <c r="K19" s="42"/>
      <c r="L19" s="43"/>
    </row>
    <row r="20" spans="1:12" ht="15.75">
      <c r="A20" s="44" t="s">
        <v>22</v>
      </c>
      <c r="B20" s="44"/>
      <c r="C20" s="45"/>
      <c r="D20" s="46"/>
      <c r="E20" s="46"/>
      <c r="F20" s="46"/>
      <c r="G20" s="47"/>
      <c r="H20" s="47"/>
      <c r="I20" s="47"/>
      <c r="J20" s="47"/>
      <c r="K20" s="48"/>
      <c r="L20" s="49"/>
    </row>
    <row r="21" spans="1:12" ht="14.25">
      <c r="A21" s="44" t="s">
        <v>23</v>
      </c>
      <c r="B21" s="1930"/>
      <c r="C21" s="1930"/>
      <c r="D21" s="50">
        <f>IF(D20="",0,DATEDIF(D20,$H$13,"Y"))</f>
        <v>0</v>
      </c>
      <c r="E21" s="50">
        <f>IF(E20="",0,DATEDIF(E20,$H$13,"Y"))</f>
        <v>0</v>
      </c>
      <c r="F21" s="50">
        <f>IF(F20="",0,IF(F20&gt;=$H$13,0,DATEDIF(F20,$H$13,"Y")))</f>
        <v>0</v>
      </c>
      <c r="G21" s="50">
        <f>IF(G20="",0,IF(G20&gt;=$H$13,0,DATEDIF(G20,$H$13,"Y")))</f>
        <v>0</v>
      </c>
      <c r="H21" s="50">
        <f>IF(H20="",0,IF(H20&gt;=$H$13,0,DATEDIF(H20,$H$13,"Y")))</f>
        <v>0</v>
      </c>
      <c r="I21" s="50">
        <f>IF(I20="",0,IF(I20&gt;=$H$13,0,DATEDIF(I20,$H$13,"Y")))</f>
        <v>0</v>
      </c>
      <c r="J21" s="50">
        <f>IF(J20="",0,IF(J20&gt;=$H$13,0,DATEDIF(J20,$H$13,"Y")))</f>
        <v>0</v>
      </c>
      <c r="K21" s="51"/>
      <c r="L21" s="52"/>
    </row>
    <row r="22" spans="1:12">
      <c r="A22" s="44" t="s">
        <v>24</v>
      </c>
      <c r="B22" s="44"/>
      <c r="C22" s="53"/>
      <c r="D22" s="54" t="str">
        <f>Zusatzeingaben!C34</f>
        <v>ja</v>
      </c>
      <c r="E22" s="54" t="str">
        <f>Zusatzeingaben!D34</f>
        <v>ja</v>
      </c>
      <c r="F22" s="54" t="str">
        <f>Zusatzeingaben!E34</f>
        <v>ja</v>
      </c>
      <c r="G22" s="54" t="str">
        <f>Zusatzeingaben!F34</f>
        <v>ja</v>
      </c>
      <c r="H22" s="54" t="str">
        <f>Zusatzeingaben!G34</f>
        <v>ja</v>
      </c>
      <c r="I22" s="54" t="str">
        <f>Zusatzeingaben!H34</f>
        <v>ja</v>
      </c>
      <c r="J22" s="55" t="str">
        <f>Zusatzeingaben!I34</f>
        <v>ja</v>
      </c>
      <c r="K22" s="56"/>
      <c r="L22" s="57"/>
    </row>
    <row r="23" spans="1:12">
      <c r="A23" s="44" t="s">
        <v>25</v>
      </c>
      <c r="B23" s="44"/>
      <c r="C23" s="58">
        <f>SUM(D23:L23)</f>
        <v>449</v>
      </c>
      <c r="D23" s="59">
        <f>Berechnung!C11</f>
        <v>449</v>
      </c>
      <c r="E23" s="59">
        <f>Berechnung!D11</f>
        <v>0</v>
      </c>
      <c r="F23" s="59">
        <f>Berechnung!E11</f>
        <v>0</v>
      </c>
      <c r="G23" s="59">
        <f>Berechnung!F11</f>
        <v>0</v>
      </c>
      <c r="H23" s="59">
        <f>Berechnung!G11</f>
        <v>0</v>
      </c>
      <c r="I23" s="59">
        <f>Berechnung!H11</f>
        <v>0</v>
      </c>
      <c r="J23" s="59">
        <f>Berechnung!I11</f>
        <v>0</v>
      </c>
      <c r="K23" s="60"/>
      <c r="L23" s="61"/>
    </row>
    <row r="24" spans="1:12">
      <c r="A24" s="62"/>
      <c r="B24" s="45"/>
      <c r="C24" s="63"/>
      <c r="D24" s="45"/>
      <c r="E24" s="64"/>
      <c r="F24" s="64"/>
      <c r="G24" s="64"/>
      <c r="H24" s="64"/>
      <c r="I24" s="64"/>
      <c r="J24" s="65"/>
      <c r="K24" s="66"/>
      <c r="L24" s="67"/>
    </row>
    <row r="25" spans="1:12">
      <c r="A25" s="68" t="s">
        <v>26</v>
      </c>
      <c r="B25" s="45"/>
      <c r="C25" s="69">
        <v>2</v>
      </c>
      <c r="D25" s="70" t="s">
        <v>27</v>
      </c>
      <c r="E25" s="70" t="s">
        <v>27</v>
      </c>
      <c r="F25" s="71" t="s">
        <v>28</v>
      </c>
      <c r="G25" s="71" t="s">
        <v>28</v>
      </c>
      <c r="H25" s="71" t="s">
        <v>28</v>
      </c>
      <c r="I25" s="71" t="s">
        <v>28</v>
      </c>
      <c r="J25" s="72" t="s">
        <v>28</v>
      </c>
      <c r="K25" s="66"/>
      <c r="L25" s="67"/>
    </row>
    <row r="26" spans="1:12">
      <c r="A26" s="45" t="s">
        <v>29</v>
      </c>
      <c r="B26" s="73" t="s">
        <v>27</v>
      </c>
      <c r="C26" s="74">
        <f>SUM(D26:L26)</f>
        <v>0</v>
      </c>
      <c r="D26" s="75">
        <f>Berechnung!C14</f>
        <v>0</v>
      </c>
      <c r="E26" s="76"/>
      <c r="F26" s="77"/>
      <c r="G26" s="77"/>
      <c r="H26" s="77"/>
      <c r="I26" s="77"/>
      <c r="J26" s="78"/>
      <c r="K26" s="79"/>
      <c r="L26" s="80"/>
    </row>
    <row r="27" spans="1:12" hidden="1">
      <c r="A27" s="81" t="s">
        <v>30</v>
      </c>
      <c r="B27" s="81"/>
      <c r="C27" s="82"/>
      <c r="D27" s="83" t="str">
        <f t="shared" ref="D27:J27" si="0">IF(($C$54="Ja"),"Ja","")</f>
        <v/>
      </c>
      <c r="E27" s="83" t="str">
        <f t="shared" si="0"/>
        <v/>
      </c>
      <c r="F27" s="83" t="str">
        <f t="shared" si="0"/>
        <v/>
      </c>
      <c r="G27" s="83" t="str">
        <f t="shared" si="0"/>
        <v/>
      </c>
      <c r="H27" s="83" t="str">
        <f t="shared" si="0"/>
        <v/>
      </c>
      <c r="I27" s="83" t="str">
        <f t="shared" si="0"/>
        <v/>
      </c>
      <c r="J27" s="83" t="str">
        <f t="shared" si="0"/>
        <v/>
      </c>
      <c r="K27" s="84"/>
      <c r="L27" s="85"/>
    </row>
    <row r="28" spans="1:12" hidden="1">
      <c r="A28" s="81" t="s">
        <v>31</v>
      </c>
      <c r="B28" s="81"/>
      <c r="C28" s="86">
        <f>SUM(D28:L28)</f>
        <v>0</v>
      </c>
      <c r="D28" s="87">
        <f t="shared" ref="D28:J28" si="1">IF(OR(D$20="",$C$54="Nein"),0,VLOOKUP(D$20,Bedarfsstufen,3,1))</f>
        <v>0</v>
      </c>
      <c r="E28" s="87">
        <f t="shared" si="1"/>
        <v>0</v>
      </c>
      <c r="F28" s="87">
        <f t="shared" si="1"/>
        <v>0</v>
      </c>
      <c r="G28" s="87">
        <f t="shared" si="1"/>
        <v>0</v>
      </c>
      <c r="H28" s="87">
        <f t="shared" si="1"/>
        <v>0</v>
      </c>
      <c r="I28" s="87">
        <f t="shared" si="1"/>
        <v>0</v>
      </c>
      <c r="J28" s="87">
        <f t="shared" si="1"/>
        <v>0</v>
      </c>
      <c r="K28" s="88"/>
      <c r="L28" s="89"/>
    </row>
    <row r="29" spans="1:12" hidden="1">
      <c r="A29" s="81" t="s">
        <v>32</v>
      </c>
      <c r="B29" s="81"/>
      <c r="C29" s="86">
        <f>C55</f>
        <v>0</v>
      </c>
      <c r="D29" s="87">
        <f t="shared" ref="D29:J29" si="2">$C$55/$C$16</f>
        <v>0</v>
      </c>
      <c r="E29" s="87">
        <f t="shared" si="2"/>
        <v>0</v>
      </c>
      <c r="F29" s="87">
        <f t="shared" si="2"/>
        <v>0</v>
      </c>
      <c r="G29" s="87">
        <f t="shared" si="2"/>
        <v>0</v>
      </c>
      <c r="H29" s="87">
        <f t="shared" si="2"/>
        <v>0</v>
      </c>
      <c r="I29" s="87">
        <f t="shared" si="2"/>
        <v>0</v>
      </c>
      <c r="J29" s="87">
        <f t="shared" si="2"/>
        <v>0</v>
      </c>
      <c r="K29" s="88"/>
      <c r="L29" s="89"/>
    </row>
    <row r="30" spans="1:12">
      <c r="A30" s="45" t="s">
        <v>33</v>
      </c>
      <c r="B30" s="45"/>
      <c r="C30" s="74">
        <f>SUM(D30:L30)</f>
        <v>0</v>
      </c>
      <c r="D30" s="90">
        <f>Berechnung!C18</f>
        <v>0</v>
      </c>
      <c r="E30" s="90">
        <f>Berechnung!D18</f>
        <v>0</v>
      </c>
      <c r="F30" s="90">
        <f>Berechnung!E18</f>
        <v>0</v>
      </c>
      <c r="G30" s="90">
        <f>Berechnung!F18</f>
        <v>0</v>
      </c>
      <c r="H30" s="90">
        <f>Berechnung!G18</f>
        <v>0</v>
      </c>
      <c r="I30" s="90">
        <f>Berechnung!H18</f>
        <v>0</v>
      </c>
      <c r="J30" s="90">
        <f>Berechnung!I18</f>
        <v>0</v>
      </c>
      <c r="K30" s="88"/>
      <c r="L30" s="89"/>
    </row>
    <row r="31" spans="1:12">
      <c r="A31" s="1903" t="s">
        <v>2444</v>
      </c>
      <c r="B31" s="1907" t="s">
        <v>2453</v>
      </c>
      <c r="C31" s="74"/>
      <c r="D31" s="1902"/>
      <c r="E31" s="1900"/>
      <c r="F31" s="1900"/>
      <c r="G31" s="1900"/>
      <c r="H31" s="1900"/>
      <c r="I31" s="1900"/>
      <c r="J31" s="1900"/>
      <c r="K31" s="91"/>
      <c r="L31" s="92"/>
    </row>
    <row r="32" spans="1:12">
      <c r="A32" s="45" t="s">
        <v>34</v>
      </c>
      <c r="B32" s="45"/>
      <c r="C32" s="74">
        <f>SUM(D32:L32)</f>
        <v>0</v>
      </c>
      <c r="D32" s="90">
        <f>Zusatzeingaben!$C233*D31</f>
        <v>0</v>
      </c>
      <c r="E32" s="90">
        <f>Zusatzeingaben!$C233*E31</f>
        <v>0</v>
      </c>
      <c r="F32" s="90">
        <f>Zusatzeingaben!$C233*F31</f>
        <v>0</v>
      </c>
      <c r="G32" s="90">
        <f>Zusatzeingaben!$C233*G31</f>
        <v>0</v>
      </c>
      <c r="H32" s="90">
        <f>Zusatzeingaben!$C233*H31</f>
        <v>0</v>
      </c>
      <c r="I32" s="90">
        <f>Zusatzeingaben!$C233*I31</f>
        <v>0</v>
      </c>
      <c r="J32" s="90">
        <f>Zusatzeingaben!$C233*J31</f>
        <v>0</v>
      </c>
      <c r="K32" s="88"/>
      <c r="L32" s="89"/>
    </row>
    <row r="33" spans="1:12">
      <c r="A33" s="45" t="s">
        <v>35</v>
      </c>
      <c r="B33" s="45"/>
      <c r="C33" s="74"/>
      <c r="D33" s="93"/>
      <c r="E33" s="93"/>
      <c r="F33" s="93"/>
      <c r="G33" s="93"/>
      <c r="H33" s="93"/>
      <c r="I33" s="93"/>
      <c r="J33" s="93"/>
      <c r="K33" s="94"/>
      <c r="L33" s="95"/>
    </row>
    <row r="34" spans="1:12">
      <c r="A34" s="45" t="s">
        <v>36</v>
      </c>
      <c r="B34" s="45"/>
      <c r="C34" s="74">
        <f>SUM(D34:L34)</f>
        <v>0</v>
      </c>
      <c r="D34" s="96">
        <f>Berechnung!C13</f>
        <v>0</v>
      </c>
      <c r="E34" s="96">
        <f>Berechnung!D13</f>
        <v>0</v>
      </c>
      <c r="F34" s="96">
        <f>Berechnung!E13</f>
        <v>0</v>
      </c>
      <c r="G34" s="96">
        <f>Berechnung!F13</f>
        <v>0</v>
      </c>
      <c r="H34" s="96">
        <f>Berechnung!G13</f>
        <v>0</v>
      </c>
      <c r="I34" s="96">
        <f>Berechnung!H13</f>
        <v>0</v>
      </c>
      <c r="J34" s="96">
        <f>Berechnung!I13</f>
        <v>0</v>
      </c>
      <c r="K34" s="88"/>
      <c r="L34" s="89"/>
    </row>
    <row r="35" spans="1:12">
      <c r="A35" s="97" t="s">
        <v>37</v>
      </c>
      <c r="B35" s="45"/>
      <c r="C35" s="74"/>
      <c r="D35" s="98"/>
      <c r="E35" s="98"/>
      <c r="F35" s="98"/>
      <c r="G35" s="98"/>
      <c r="H35" s="98"/>
      <c r="I35" s="98"/>
      <c r="J35" s="98"/>
      <c r="K35" s="88"/>
      <c r="L35" s="89"/>
    </row>
    <row r="36" spans="1:12">
      <c r="A36" s="45" t="s">
        <v>38</v>
      </c>
      <c r="B36" s="45"/>
      <c r="C36" s="74">
        <f>SUM(D36:J36)</f>
        <v>0</v>
      </c>
      <c r="D36" s="96">
        <f>Berechnung!C19</f>
        <v>0</v>
      </c>
      <c r="E36" s="96">
        <f>Berechnung!D19</f>
        <v>0</v>
      </c>
      <c r="F36" s="96">
        <f>Berechnung!E19</f>
        <v>0</v>
      </c>
      <c r="G36" s="96">
        <f>Berechnung!F19</f>
        <v>0</v>
      </c>
      <c r="H36" s="96">
        <f>Berechnung!G19</f>
        <v>0</v>
      </c>
      <c r="I36" s="96">
        <f>Berechnung!H19</f>
        <v>0</v>
      </c>
      <c r="J36" s="96">
        <f>Berechnung!I19</f>
        <v>0</v>
      </c>
      <c r="K36" s="88"/>
      <c r="L36" s="89"/>
    </row>
    <row r="37" spans="1:12">
      <c r="A37" s="45" t="s">
        <v>39</v>
      </c>
      <c r="B37" s="45"/>
      <c r="C37" s="74"/>
      <c r="D37" s="98"/>
      <c r="E37" s="98"/>
      <c r="F37" s="98"/>
      <c r="G37" s="98"/>
      <c r="H37" s="98"/>
      <c r="I37" s="98"/>
      <c r="J37" s="98"/>
      <c r="K37" s="99"/>
      <c r="L37" s="100"/>
    </row>
    <row r="38" spans="1:12">
      <c r="A38" s="45" t="s">
        <v>40</v>
      </c>
      <c r="B38" s="45"/>
      <c r="C38" s="74">
        <f>SUM(D38:L38)</f>
        <v>0</v>
      </c>
      <c r="D38" s="96">
        <f>Berechnung!C15</f>
        <v>0</v>
      </c>
      <c r="E38" s="96">
        <f>Berechnung!D15</f>
        <v>0</v>
      </c>
      <c r="F38" s="96">
        <f>Berechnung!E15</f>
        <v>0</v>
      </c>
      <c r="G38" s="96">
        <f>Berechnung!F15</f>
        <v>0</v>
      </c>
      <c r="H38" s="96">
        <f>Berechnung!G15</f>
        <v>0</v>
      </c>
      <c r="I38" s="96">
        <f>Berechnung!H15</f>
        <v>0</v>
      </c>
      <c r="J38" s="96">
        <f>Berechnung!I15</f>
        <v>0</v>
      </c>
      <c r="K38" s="88"/>
      <c r="L38" s="89"/>
    </row>
    <row r="39" spans="1:12">
      <c r="A39" s="45"/>
      <c r="B39" s="45"/>
      <c r="C39" s="74"/>
      <c r="D39" s="96"/>
      <c r="E39" s="96"/>
      <c r="F39" s="96"/>
      <c r="G39" s="96"/>
      <c r="H39" s="96"/>
      <c r="I39" s="96"/>
      <c r="J39" s="96"/>
      <c r="K39" s="88"/>
      <c r="L39" s="89"/>
    </row>
    <row r="40" spans="1:12">
      <c r="A40" s="44" t="s">
        <v>41</v>
      </c>
      <c r="B40" s="97"/>
      <c r="C40" s="74">
        <f>SUM(D40:L40)</f>
        <v>0</v>
      </c>
      <c r="D40" s="101">
        <f t="shared" ref="D40:J40" si="3">SUM(D26,D32,D34,D38)</f>
        <v>0</v>
      </c>
      <c r="E40" s="101">
        <f t="shared" si="3"/>
        <v>0</v>
      </c>
      <c r="F40" s="101">
        <f t="shared" si="3"/>
        <v>0</v>
      </c>
      <c r="G40" s="101">
        <f t="shared" si="3"/>
        <v>0</v>
      </c>
      <c r="H40" s="101">
        <f t="shared" si="3"/>
        <v>0</v>
      </c>
      <c r="I40" s="101">
        <f t="shared" si="3"/>
        <v>0</v>
      </c>
      <c r="J40" s="101">
        <f t="shared" si="3"/>
        <v>0</v>
      </c>
      <c r="K40" s="60"/>
      <c r="L40" s="61"/>
    </row>
    <row r="41" spans="1:12">
      <c r="A41" s="44" t="s">
        <v>42</v>
      </c>
      <c r="B41" s="97"/>
      <c r="C41" s="58">
        <f>SUM(D41:L41)</f>
        <v>449</v>
      </c>
      <c r="D41" s="101">
        <f t="shared" ref="D41:J41" si="4">IF(D23&gt;=0,SUM(D23,D26,D30,D32,D34,D36,D38,0))</f>
        <v>449</v>
      </c>
      <c r="E41" s="101">
        <f t="shared" si="4"/>
        <v>0</v>
      </c>
      <c r="F41" s="101">
        <f t="shared" si="4"/>
        <v>0</v>
      </c>
      <c r="G41" s="101">
        <f t="shared" si="4"/>
        <v>0</v>
      </c>
      <c r="H41" s="101">
        <f t="shared" si="4"/>
        <v>0</v>
      </c>
      <c r="I41" s="101">
        <f t="shared" si="4"/>
        <v>0</v>
      </c>
      <c r="J41" s="101">
        <f t="shared" si="4"/>
        <v>0</v>
      </c>
      <c r="K41" s="60"/>
      <c r="L41" s="61"/>
    </row>
    <row r="42" spans="1:12" ht="15.75">
      <c r="A42" s="102" t="s">
        <v>43</v>
      </c>
      <c r="B42" s="103"/>
      <c r="C42" s="58">
        <f>SUM(D42:L42)</f>
        <v>0</v>
      </c>
      <c r="D42" s="98"/>
      <c r="E42" s="98"/>
      <c r="F42" s="98"/>
      <c r="G42" s="98"/>
      <c r="H42" s="98"/>
      <c r="I42" s="98"/>
      <c r="J42" s="98"/>
      <c r="K42" s="104"/>
      <c r="L42" s="105"/>
    </row>
    <row r="43" spans="1:12" ht="16.5">
      <c r="A43" s="44" t="s">
        <v>44</v>
      </c>
      <c r="B43" s="1931" t="str">
        <f>IF(C16&lt;M23,"►►►►►►►","")</f>
        <v/>
      </c>
      <c r="C43" s="1931"/>
      <c r="D43" s="106" t="str">
        <f>IF(C16&lt;M23,"Zahl der Personen in Zelle C10 falsch!","")</f>
        <v/>
      </c>
      <c r="E43" s="107"/>
      <c r="F43" s="107"/>
      <c r="G43" s="107"/>
      <c r="H43" s="107"/>
      <c r="I43" s="107"/>
      <c r="J43" s="108"/>
      <c r="K43" s="109"/>
      <c r="L43" s="110"/>
    </row>
    <row r="44" spans="1:12" hidden="1">
      <c r="A44" s="81" t="s">
        <v>45</v>
      </c>
      <c r="B44" s="81"/>
      <c r="C44" s="81"/>
      <c r="D44" s="111">
        <f t="shared" ref="D44:J44" si="5">$C$48/$C$16</f>
        <v>0</v>
      </c>
      <c r="E44" s="111">
        <f t="shared" si="5"/>
        <v>0</v>
      </c>
      <c r="F44" s="111">
        <f t="shared" si="5"/>
        <v>0</v>
      </c>
      <c r="G44" s="111">
        <f t="shared" si="5"/>
        <v>0</v>
      </c>
      <c r="H44" s="111">
        <f t="shared" si="5"/>
        <v>0</v>
      </c>
      <c r="I44" s="111">
        <f t="shared" si="5"/>
        <v>0</v>
      </c>
      <c r="J44" s="111">
        <f t="shared" si="5"/>
        <v>0</v>
      </c>
      <c r="K44" s="112"/>
      <c r="L44" s="113"/>
    </row>
    <row r="45" spans="1:12" ht="15.75">
      <c r="A45" s="114" t="s">
        <v>46</v>
      </c>
      <c r="B45" s="1932" t="s">
        <v>274</v>
      </c>
      <c r="C45" s="1932"/>
      <c r="D45" s="115"/>
      <c r="E45" s="115"/>
      <c r="F45" s="115"/>
      <c r="G45" s="115"/>
      <c r="H45" s="115"/>
      <c r="I45" s="115"/>
      <c r="J45" s="115"/>
      <c r="K45" s="112"/>
      <c r="L45" s="113"/>
    </row>
    <row r="46" spans="1:12" ht="15.75">
      <c r="A46" s="114" t="s">
        <v>48</v>
      </c>
      <c r="B46" s="1932" t="s">
        <v>1571</v>
      </c>
      <c r="C46" s="1932"/>
      <c r="D46" s="1933" t="s">
        <v>50</v>
      </c>
      <c r="E46" s="1933"/>
      <c r="F46" s="116" t="str">
        <f>VLOOKUP(B46,Zusatzeingaben!A683:B1047,2)</f>
        <v>VI</v>
      </c>
      <c r="G46" s="117" t="s">
        <v>51</v>
      </c>
      <c r="H46" s="115"/>
      <c r="I46" s="115"/>
      <c r="J46" s="115"/>
      <c r="K46" s="112"/>
      <c r="L46" s="113"/>
    </row>
    <row r="47" spans="1:12" ht="15.75">
      <c r="A47" s="114" t="s">
        <v>52</v>
      </c>
      <c r="B47" s="118"/>
      <c r="C47" s="119" t="s">
        <v>53</v>
      </c>
      <c r="D47" s="115"/>
      <c r="E47" s="115"/>
      <c r="F47" s="115"/>
      <c r="G47" s="115"/>
      <c r="H47" s="115"/>
      <c r="I47" s="115"/>
      <c r="J47" s="115"/>
      <c r="K47" s="112"/>
      <c r="L47" s="113"/>
    </row>
    <row r="48" spans="1:12">
      <c r="A48" s="45" t="str">
        <f>IF(C47="Miete","Kaltmiete","monatliche Zinslast (keine Tilgung)")</f>
        <v>Kaltmiete</v>
      </c>
      <c r="B48" s="45"/>
      <c r="C48" s="120"/>
      <c r="D48" s="96">
        <f>Berechnung!C24</f>
        <v>0</v>
      </c>
      <c r="E48" s="96">
        <f>Berechnung!D24</f>
        <v>0</v>
      </c>
      <c r="F48" s="96">
        <f>Berechnung!E24</f>
        <v>0</v>
      </c>
      <c r="G48" s="96">
        <f>Berechnung!F24</f>
        <v>0</v>
      </c>
      <c r="H48" s="96">
        <f>Berechnung!G24</f>
        <v>0</v>
      </c>
      <c r="I48" s="96">
        <f>Berechnung!H24</f>
        <v>0</v>
      </c>
      <c r="J48" s="96">
        <f>Berechnung!I24</f>
        <v>0</v>
      </c>
      <c r="K48" s="88"/>
      <c r="L48" s="89"/>
    </row>
    <row r="49" spans="1:12" ht="13.15" hidden="1" customHeight="1">
      <c r="A49" s="81" t="s">
        <v>54</v>
      </c>
      <c r="B49" s="81"/>
      <c r="C49" s="121"/>
      <c r="D49" s="122">
        <f t="shared" ref="D49:J49" si="6">$C$50/$C$16</f>
        <v>0</v>
      </c>
      <c r="E49" s="122">
        <f t="shared" si="6"/>
        <v>0</v>
      </c>
      <c r="F49" s="122">
        <f t="shared" si="6"/>
        <v>0</v>
      </c>
      <c r="G49" s="122">
        <f t="shared" si="6"/>
        <v>0</v>
      </c>
      <c r="H49" s="122">
        <f t="shared" si="6"/>
        <v>0</v>
      </c>
      <c r="I49" s="122">
        <f t="shared" si="6"/>
        <v>0</v>
      </c>
      <c r="J49" s="122">
        <f t="shared" si="6"/>
        <v>0</v>
      </c>
      <c r="K49" s="123"/>
      <c r="L49" s="124"/>
    </row>
    <row r="50" spans="1:12">
      <c r="A50" s="45" t="str">
        <f>IF(C47="Miete","Nebenkosten","Nebenkosteneinschl.Grundsteuer")</f>
        <v>Nebenkosten</v>
      </c>
      <c r="B50" s="45"/>
      <c r="C50" s="120"/>
      <c r="D50" s="96">
        <f>Berechnung!C33</f>
        <v>0</v>
      </c>
      <c r="E50" s="96">
        <f>Berechnung!D33</f>
        <v>0</v>
      </c>
      <c r="F50" s="96">
        <f>Berechnung!E33</f>
        <v>0</v>
      </c>
      <c r="G50" s="96">
        <f>Berechnung!F33</f>
        <v>0</v>
      </c>
      <c r="H50" s="96">
        <f>Berechnung!G33</f>
        <v>0</v>
      </c>
      <c r="I50" s="96">
        <f>Berechnung!H33</f>
        <v>0</v>
      </c>
      <c r="J50" s="96">
        <f>Berechnung!I33</f>
        <v>0</v>
      </c>
      <c r="K50" s="88"/>
      <c r="L50" s="89"/>
    </row>
    <row r="51" spans="1:12" ht="13.15" hidden="1" customHeight="1">
      <c r="A51" s="81" t="s">
        <v>55</v>
      </c>
      <c r="B51" s="81"/>
      <c r="C51" s="125"/>
      <c r="D51" s="122">
        <f t="shared" ref="D51:J51" si="7">$C$52/$C$16</f>
        <v>0</v>
      </c>
      <c r="E51" s="122">
        <f t="shared" si="7"/>
        <v>0</v>
      </c>
      <c r="F51" s="122">
        <f t="shared" si="7"/>
        <v>0</v>
      </c>
      <c r="G51" s="122">
        <f t="shared" si="7"/>
        <v>0</v>
      </c>
      <c r="H51" s="122">
        <f t="shared" si="7"/>
        <v>0</v>
      </c>
      <c r="I51" s="122">
        <f t="shared" si="7"/>
        <v>0</v>
      </c>
      <c r="J51" s="122">
        <f t="shared" si="7"/>
        <v>0</v>
      </c>
      <c r="K51" s="123"/>
      <c r="L51" s="124"/>
    </row>
    <row r="52" spans="1:12">
      <c r="A52" s="45" t="s">
        <v>55</v>
      </c>
      <c r="B52" s="45"/>
      <c r="C52" s="98"/>
      <c r="D52" s="96">
        <f>Berechnung!C46</f>
        <v>0</v>
      </c>
      <c r="E52" s="96">
        <f>Berechnung!D46</f>
        <v>0</v>
      </c>
      <c r="F52" s="96">
        <f>Berechnung!E46</f>
        <v>0</v>
      </c>
      <c r="G52" s="96">
        <f>Berechnung!F46</f>
        <v>0</v>
      </c>
      <c r="H52" s="96">
        <f>Berechnung!G46</f>
        <v>0</v>
      </c>
      <c r="I52" s="96">
        <f>Berechnung!H46</f>
        <v>0</v>
      </c>
      <c r="J52" s="96">
        <f>Berechnung!I46</f>
        <v>0</v>
      </c>
      <c r="K52" s="88"/>
      <c r="L52" s="89"/>
    </row>
    <row r="53" spans="1:12" hidden="1">
      <c r="A53" s="45" t="s">
        <v>55</v>
      </c>
      <c r="B53" s="45"/>
      <c r="C53" s="98">
        <v>101</v>
      </c>
      <c r="D53" s="96">
        <f>Berechnung!C47</f>
        <v>0</v>
      </c>
      <c r="E53" s="96">
        <f>Berechnung!D47</f>
        <v>0</v>
      </c>
      <c r="F53" s="96">
        <f>Berechnung!E47</f>
        <v>0</v>
      </c>
      <c r="G53" s="96">
        <f>Berechnung!F47</f>
        <v>0</v>
      </c>
      <c r="H53" s="96">
        <f>Berechnung!G47</f>
        <v>0</v>
      </c>
      <c r="I53" s="96">
        <f>Berechnung!H47</f>
        <v>0</v>
      </c>
      <c r="J53" s="96">
        <f>Berechnung!I47</f>
        <v>0</v>
      </c>
      <c r="K53" s="126"/>
      <c r="L53" s="127"/>
    </row>
    <row r="54" spans="1:12" ht="25.5">
      <c r="A54" s="128" t="s">
        <v>56</v>
      </c>
      <c r="B54" s="128"/>
      <c r="C54" s="70" t="s">
        <v>27</v>
      </c>
      <c r="D54" s="129"/>
      <c r="E54" s="96"/>
      <c r="F54" s="96"/>
      <c r="G54" s="96"/>
      <c r="H54" s="96"/>
      <c r="I54" s="96"/>
      <c r="J54" s="96"/>
      <c r="K54" s="126"/>
      <c r="L54" s="127"/>
    </row>
    <row r="55" spans="1:12" ht="32.450000000000003" customHeight="1">
      <c r="A55" s="130" t="str">
        <f>IF(WWPauschale="JA","","Kosten nur für zentrale Warmwasser-Versorgung"&amp;CHAR(10)&amp;"wenn nicht vorstehend in den Heizkosten enthalten")</f>
        <v>Kosten nur für zentrale Warmwasser-Versorgung
wenn nicht vorstehend in den Heizkosten enthalten</v>
      </c>
      <c r="B55" s="131" t="str">
        <f>IF($C$54="Nein","Betrag eingeben!","")</f>
        <v>Betrag eingeben!</v>
      </c>
      <c r="C55" s="132"/>
      <c r="D55" s="131" t="str">
        <f>IF($C$54="Nein","Betrag eingeben!","")</f>
        <v>Betrag eingeben!</v>
      </c>
      <c r="E55" s="96"/>
      <c r="F55" s="96"/>
      <c r="G55" s="96"/>
      <c r="H55" s="96"/>
      <c r="I55" s="96"/>
      <c r="J55" s="96"/>
      <c r="K55" s="126"/>
      <c r="L55" s="127"/>
    </row>
    <row r="56" spans="1:12">
      <c r="A56" s="133" t="str">
        <f>IF($C47="Eigentum","Wohnfläche","")</f>
        <v/>
      </c>
      <c r="B56" s="45"/>
      <c r="C56" s="134"/>
      <c r="D56" s="96">
        <f>Berechnung!C48</f>
        <v>0</v>
      </c>
      <c r="E56" s="96">
        <f>Berechnung!D48</f>
        <v>0</v>
      </c>
      <c r="F56" s="96">
        <f>Berechnung!E48</f>
        <v>0</v>
      </c>
      <c r="G56" s="96">
        <f>Berechnung!F48</f>
        <v>0</v>
      </c>
      <c r="H56" s="96">
        <f>Berechnung!G48</f>
        <v>0</v>
      </c>
      <c r="I56" s="96">
        <f>Berechnung!H48</f>
        <v>0</v>
      </c>
      <c r="J56" s="96">
        <f>Berechnung!I48</f>
        <v>0</v>
      </c>
      <c r="K56" s="126"/>
      <c r="L56" s="127"/>
    </row>
    <row r="57" spans="1:12">
      <c r="A57" s="45" t="str">
        <f>IF(C47="Eigentum","Garage/PKW-Stellplatz vorhanden","")</f>
        <v/>
      </c>
      <c r="B57" s="45"/>
      <c r="C57" s="98"/>
      <c r="D57" s="96"/>
      <c r="E57" s="96"/>
      <c r="F57" s="96"/>
      <c r="G57" s="96"/>
      <c r="H57" s="96"/>
      <c r="I57" s="96"/>
      <c r="J57" s="96"/>
      <c r="K57" s="126"/>
      <c r="L57" s="127"/>
    </row>
    <row r="58" spans="1:12" ht="15">
      <c r="B58" s="135"/>
      <c r="C58" s="136"/>
      <c r="D58" s="96"/>
      <c r="E58" s="96"/>
      <c r="F58" s="96"/>
      <c r="G58" s="96"/>
      <c r="H58" s="96"/>
      <c r="I58" s="96"/>
      <c r="J58" s="96"/>
      <c r="K58" s="126"/>
      <c r="L58" s="127"/>
    </row>
    <row r="59" spans="1:12">
      <c r="A59" s="44" t="s">
        <v>57</v>
      </c>
      <c r="B59" s="97"/>
      <c r="C59" s="58">
        <f>SUM(C48:C52)</f>
        <v>0</v>
      </c>
      <c r="D59" s="137"/>
      <c r="E59" s="137"/>
      <c r="F59" s="137"/>
      <c r="G59" s="137"/>
      <c r="H59" s="137"/>
      <c r="I59" s="137"/>
      <c r="J59" s="137"/>
      <c r="K59" s="126"/>
      <c r="L59" s="127"/>
    </row>
    <row r="60" spans="1:12">
      <c r="A60" s="44" t="s">
        <v>58</v>
      </c>
      <c r="B60" s="97"/>
      <c r="C60" s="58">
        <f>SUM(D60:L60)</f>
        <v>449</v>
      </c>
      <c r="D60" s="101">
        <f>Berechnung!C50</f>
        <v>449</v>
      </c>
      <c r="E60" s="101">
        <f>Berechnung!D50</f>
        <v>0</v>
      </c>
      <c r="F60" s="101">
        <f>Berechnung!E50</f>
        <v>0</v>
      </c>
      <c r="G60" s="101">
        <f>Berechnung!F50</f>
        <v>0</v>
      </c>
      <c r="H60" s="101">
        <f>Berechnung!G50</f>
        <v>0</v>
      </c>
      <c r="I60" s="101">
        <f>Berechnung!H50</f>
        <v>0</v>
      </c>
      <c r="J60" s="101">
        <f>Berechnung!I50</f>
        <v>0</v>
      </c>
      <c r="K60" s="60"/>
      <c r="L60" s="61"/>
    </row>
    <row r="61" spans="1:12">
      <c r="A61" s="138"/>
      <c r="B61" s="138"/>
      <c r="C61" s="138"/>
      <c r="D61" s="138"/>
      <c r="E61" s="138"/>
      <c r="F61" s="138"/>
      <c r="G61" s="138"/>
      <c r="H61" s="138"/>
      <c r="I61" s="138"/>
      <c r="J61" s="139"/>
      <c r="K61" s="140"/>
      <c r="L61" s="9"/>
    </row>
    <row r="62" spans="1:12">
      <c r="A62" s="44" t="s">
        <v>59</v>
      </c>
      <c r="B62" s="97"/>
      <c r="C62" s="53" t="s">
        <v>60</v>
      </c>
      <c r="D62" s="141"/>
      <c r="E62" s="141"/>
      <c r="F62" s="141"/>
      <c r="G62" s="141"/>
      <c r="H62" s="141"/>
      <c r="I62" s="141"/>
      <c r="J62" s="27"/>
      <c r="K62" s="142"/>
      <c r="L62" s="10"/>
    </row>
    <row r="63" spans="1:12">
      <c r="A63" s="44" t="s">
        <v>61</v>
      </c>
      <c r="B63" s="143" t="str">
        <f>IF(AND(C64&gt;0,C63=0),"→→→→","")</f>
        <v/>
      </c>
      <c r="C63" s="144">
        <f>SUM(D63:L63)</f>
        <v>0</v>
      </c>
      <c r="D63" s="120"/>
      <c r="E63" s="98"/>
      <c r="F63" s="98"/>
      <c r="G63" s="98"/>
      <c r="H63" s="98"/>
      <c r="I63" s="98"/>
      <c r="J63" s="98"/>
      <c r="K63" s="99"/>
      <c r="L63" s="100"/>
    </row>
    <row r="64" spans="1:12">
      <c r="A64" s="44" t="s">
        <v>62</v>
      </c>
      <c r="B64" s="143" t="str">
        <f>IF(AND(C63&gt;0,C64=0),"→→→→","")</f>
        <v/>
      </c>
      <c r="C64" s="144">
        <f>SUM(D64:L64)</f>
        <v>0</v>
      </c>
      <c r="D64" s="145"/>
      <c r="E64" s="146"/>
      <c r="F64" s="146"/>
      <c r="G64" s="146"/>
      <c r="H64" s="146"/>
      <c r="I64" s="146"/>
      <c r="J64" s="146"/>
      <c r="K64" s="99"/>
      <c r="L64" s="100"/>
    </row>
    <row r="65" spans="1:12">
      <c r="A65" s="44" t="s">
        <v>63</v>
      </c>
      <c r="B65" s="97"/>
      <c r="C65" s="144">
        <f>SUM(D65:L65)</f>
        <v>0</v>
      </c>
      <c r="D65" s="98"/>
      <c r="E65" s="98"/>
      <c r="F65" s="98"/>
      <c r="G65" s="98"/>
      <c r="H65" s="98"/>
      <c r="I65" s="98"/>
      <c r="J65" s="98"/>
      <c r="K65" s="99"/>
      <c r="L65" s="100"/>
    </row>
    <row r="66" spans="1:12">
      <c r="A66" s="147" t="str">
        <f>A20</f>
        <v>Leistungsberechtigte Geburtsdaten</v>
      </c>
      <c r="B66" s="148"/>
      <c r="C66" s="148"/>
      <c r="D66" s="149" t="str">
        <f t="shared" ref="D66:J66" si="8">IF(D20="","",D20)</f>
        <v/>
      </c>
      <c r="E66" s="149" t="str">
        <f t="shared" si="8"/>
        <v/>
      </c>
      <c r="F66" s="149" t="str">
        <f t="shared" si="8"/>
        <v/>
      </c>
      <c r="G66" s="149" t="str">
        <f t="shared" si="8"/>
        <v/>
      </c>
      <c r="H66" s="149" t="str">
        <f t="shared" si="8"/>
        <v/>
      </c>
      <c r="I66" s="149" t="str">
        <f t="shared" si="8"/>
        <v/>
      </c>
      <c r="J66" s="149" t="str">
        <f t="shared" si="8"/>
        <v/>
      </c>
      <c r="K66" s="150"/>
      <c r="L66" s="151"/>
    </row>
    <row r="67" spans="1:12">
      <c r="A67" s="45" t="s">
        <v>64</v>
      </c>
      <c r="B67" s="152">
        <v>30</v>
      </c>
      <c r="C67" s="144">
        <f>SUM(D67:L67)</f>
        <v>0</v>
      </c>
      <c r="D67" s="144">
        <f>IF(AND((D23&gt;=$C$5),(SUM(D63,D65,D89:D114)&gt;=1)),MIN(SUM(D63,D65,D89:D114),VersPausch),0)</f>
        <v>0</v>
      </c>
      <c r="E67" s="144">
        <f>IF(AND((E23&gt;=$C$5),(SUM(E63,E65,E89:E114)&gt;=1)),MIN(SUM(E63,E65,E89:E114),VersPausch),0)</f>
        <v>0</v>
      </c>
      <c r="F67" s="144">
        <f>IF(AND((F22="-"),(SUM(F63,F65,F89:F114)&gt;=1)),MIN(SUM(F63,F65,F89:F114),VersPausch),0)</f>
        <v>0</v>
      </c>
      <c r="G67" s="144">
        <f>IF(AND((G22="-"),(SUM(G63,G65,G89:G114)&gt;=1)),MIN(SUM(G63,G65,G89:G114),VersPausch),0)</f>
        <v>0</v>
      </c>
      <c r="H67" s="144">
        <f>IF(AND((H22="-"),(SUM(H63,H65,H89:H114)&gt;=1)),MIN(SUM(H63,H65,H89:H114),VersPausch),0)</f>
        <v>0</v>
      </c>
      <c r="I67" s="144">
        <f>IF(AND((I22="-"),(SUM(I63,I65,I89:I114)&gt;=1)),MIN(SUM(I63,I65,I89:I114),VersPausch),0)</f>
        <v>0</v>
      </c>
      <c r="J67" s="144">
        <f>IF(AND((J22="-"),(SUM(J63,J65,J89:J114)&gt;=1)),MIN(SUM(J63,J65,J89:J114),VersPausch),0)</f>
        <v>0</v>
      </c>
      <c r="K67" s="153"/>
      <c r="L67" s="154"/>
    </row>
    <row r="68" spans="1:12">
      <c r="A68" s="45" t="s">
        <v>65</v>
      </c>
      <c r="B68" s="152"/>
      <c r="C68" s="144"/>
      <c r="D68" s="155"/>
      <c r="E68" s="155"/>
      <c r="F68" s="155"/>
      <c r="G68" s="155"/>
      <c r="H68" s="155"/>
      <c r="I68" s="155"/>
      <c r="J68" s="155"/>
      <c r="K68" s="153"/>
      <c r="L68" s="154"/>
    </row>
    <row r="69" spans="1:12">
      <c r="A69" s="156" t="s">
        <v>66</v>
      </c>
      <c r="B69" s="152"/>
      <c r="C69" s="144"/>
      <c r="D69" s="155"/>
      <c r="E69" s="155"/>
      <c r="F69" s="155"/>
      <c r="G69" s="155"/>
      <c r="H69" s="155"/>
      <c r="I69" s="155"/>
      <c r="J69" s="155"/>
      <c r="K69" s="153"/>
      <c r="L69" s="154"/>
    </row>
    <row r="70" spans="1:12">
      <c r="A70" s="45" t="s">
        <v>67</v>
      </c>
      <c r="B70" s="152"/>
      <c r="C70" s="144">
        <f>SUM(D70:L70)</f>
        <v>166.69</v>
      </c>
      <c r="D70" s="155">
        <v>0</v>
      </c>
      <c r="E70" s="155">
        <v>166.69</v>
      </c>
      <c r="F70" s="155">
        <v>0</v>
      </c>
      <c r="G70" s="155">
        <v>0</v>
      </c>
      <c r="H70" s="155">
        <v>0</v>
      </c>
      <c r="I70" s="155">
        <v>0</v>
      </c>
      <c r="J70" s="155">
        <v>0</v>
      </c>
      <c r="K70" s="157"/>
      <c r="L70" s="158"/>
    </row>
    <row r="71" spans="1:12">
      <c r="A71" s="159" t="s">
        <v>68</v>
      </c>
      <c r="B71" s="152"/>
      <c r="C71" s="144"/>
      <c r="D71" s="160" t="s">
        <v>27</v>
      </c>
      <c r="E71" s="160" t="s">
        <v>27</v>
      </c>
      <c r="F71" s="160" t="s">
        <v>27</v>
      </c>
      <c r="G71" s="160" t="s">
        <v>27</v>
      </c>
      <c r="H71" s="160" t="s">
        <v>27</v>
      </c>
      <c r="I71" s="160" t="s">
        <v>27</v>
      </c>
      <c r="J71" s="160" t="s">
        <v>27</v>
      </c>
      <c r="K71" s="157"/>
      <c r="L71" s="158"/>
    </row>
    <row r="72" spans="1:12">
      <c r="A72" s="45" t="s">
        <v>69</v>
      </c>
      <c r="B72" s="152"/>
      <c r="C72" s="144"/>
      <c r="D72" s="161">
        <v>0</v>
      </c>
      <c r="E72" s="161">
        <v>33.450000000000003</v>
      </c>
      <c r="F72" s="161">
        <v>0</v>
      </c>
      <c r="G72" s="161">
        <v>0</v>
      </c>
      <c r="H72" s="161">
        <v>0</v>
      </c>
      <c r="I72" s="161">
        <v>0</v>
      </c>
      <c r="J72" s="161">
        <v>0</v>
      </c>
      <c r="K72" s="157"/>
      <c r="L72" s="158"/>
    </row>
    <row r="73" spans="1:12">
      <c r="A73" s="45" t="s">
        <v>70</v>
      </c>
      <c r="B73" s="152"/>
      <c r="C73" s="144"/>
      <c r="D73" s="160"/>
      <c r="E73" s="160"/>
      <c r="F73" s="160"/>
      <c r="G73" s="160"/>
      <c r="H73" s="160"/>
      <c r="I73" s="160"/>
      <c r="J73" s="160"/>
      <c r="K73" s="157"/>
      <c r="L73" s="158"/>
    </row>
    <row r="74" spans="1:12" ht="15.75">
      <c r="A74" s="162" t="s">
        <v>71</v>
      </c>
      <c r="B74" s="152"/>
      <c r="C74" s="144"/>
      <c r="D74" s="160"/>
      <c r="E74" s="160"/>
      <c r="F74" s="160"/>
      <c r="G74" s="163"/>
      <c r="H74" s="163"/>
      <c r="I74" s="163"/>
      <c r="J74" s="163"/>
      <c r="K74" s="157"/>
      <c r="L74" s="158"/>
    </row>
    <row r="75" spans="1:12" ht="15.75">
      <c r="A75" s="164" t="s">
        <v>72</v>
      </c>
      <c r="B75" s="45"/>
      <c r="C75" s="144"/>
      <c r="D75" s="165">
        <v>21</v>
      </c>
      <c r="E75" s="165">
        <v>21</v>
      </c>
      <c r="F75" s="165">
        <v>21</v>
      </c>
      <c r="G75" s="165">
        <v>21</v>
      </c>
      <c r="H75" s="165">
        <v>21</v>
      </c>
      <c r="I75" s="165">
        <v>21</v>
      </c>
      <c r="J75" s="165">
        <v>21</v>
      </c>
      <c r="K75" s="166"/>
      <c r="L75" s="167"/>
    </row>
    <row r="76" spans="1:12" ht="31.5">
      <c r="A76" s="168" t="s">
        <v>73</v>
      </c>
      <c r="B76" s="45"/>
      <c r="C76" s="144"/>
      <c r="D76" s="169"/>
      <c r="E76" s="169"/>
      <c r="F76" s="169"/>
      <c r="G76" s="169"/>
      <c r="H76" s="169"/>
      <c r="I76" s="169"/>
      <c r="J76" s="169"/>
      <c r="K76" s="157"/>
      <c r="L76" s="158"/>
    </row>
    <row r="77" spans="1:12" ht="15.75">
      <c r="A77" s="170" t="s">
        <v>74</v>
      </c>
      <c r="B77" s="45"/>
      <c r="C77" s="144"/>
      <c r="D77" s="171">
        <v>0</v>
      </c>
      <c r="E77" s="171">
        <v>0</v>
      </c>
      <c r="F77" s="171">
        <v>0</v>
      </c>
      <c r="G77" s="171">
        <v>0</v>
      </c>
      <c r="H77" s="171">
        <v>0</v>
      </c>
      <c r="I77" s="171">
        <v>0</v>
      </c>
      <c r="J77" s="171">
        <v>0</v>
      </c>
      <c r="K77" s="172"/>
      <c r="L77" s="173"/>
    </row>
    <row r="78" spans="1:12" ht="30">
      <c r="A78" s="62" t="s">
        <v>75</v>
      </c>
      <c r="B78" s="174"/>
      <c r="C78" s="175">
        <f t="shared" ref="C78:C83" si="9">SUM(D78:L78)</f>
        <v>0</v>
      </c>
      <c r="D78" s="176"/>
      <c r="E78" s="176"/>
      <c r="F78" s="176"/>
      <c r="G78" s="176"/>
      <c r="H78" s="176"/>
      <c r="I78" s="176"/>
      <c r="J78" s="176"/>
      <c r="K78" s="177"/>
      <c r="L78" s="178"/>
    </row>
    <row r="79" spans="1:12" ht="42.75">
      <c r="A79" s="62" t="s">
        <v>76</v>
      </c>
      <c r="B79" s="174"/>
      <c r="C79" s="175">
        <f t="shared" si="9"/>
        <v>0</v>
      </c>
      <c r="D79" s="176"/>
      <c r="E79" s="176"/>
      <c r="F79" s="176"/>
      <c r="G79" s="176"/>
      <c r="H79" s="176"/>
      <c r="I79" s="176"/>
      <c r="J79" s="176"/>
      <c r="K79" s="177"/>
      <c r="L79" s="178"/>
    </row>
    <row r="80" spans="1:12">
      <c r="A80" s="45" t="s">
        <v>77</v>
      </c>
      <c r="B80" s="45"/>
      <c r="C80" s="144">
        <f t="shared" si="9"/>
        <v>0</v>
      </c>
      <c r="D80" s="179"/>
      <c r="E80" s="179"/>
      <c r="F80" s="179"/>
      <c r="G80" s="179"/>
      <c r="H80" s="179"/>
      <c r="I80" s="179"/>
      <c r="J80" s="179"/>
      <c r="K80" s="157"/>
      <c r="L80" s="158"/>
    </row>
    <row r="81" spans="1:12">
      <c r="A81" s="45" t="s">
        <v>78</v>
      </c>
      <c r="B81" s="45"/>
      <c r="C81" s="144">
        <f t="shared" si="9"/>
        <v>0</v>
      </c>
      <c r="D81" s="155"/>
      <c r="E81" s="155"/>
      <c r="F81" s="155"/>
      <c r="G81" s="155"/>
      <c r="H81" s="155"/>
      <c r="I81" s="155"/>
      <c r="J81" s="155"/>
      <c r="K81" s="157"/>
      <c r="L81" s="158"/>
    </row>
    <row r="82" spans="1:12">
      <c r="A82" s="45" t="s">
        <v>79</v>
      </c>
      <c r="B82" s="45"/>
      <c r="C82" s="144">
        <f t="shared" si="9"/>
        <v>0</v>
      </c>
      <c r="D82" s="179"/>
      <c r="E82" s="179"/>
      <c r="F82" s="179"/>
      <c r="G82" s="179"/>
      <c r="H82" s="179"/>
      <c r="I82" s="179"/>
      <c r="J82" s="179"/>
      <c r="K82" s="157"/>
      <c r="L82" s="158"/>
    </row>
    <row r="83" spans="1:12">
      <c r="A83" s="45" t="s">
        <v>80</v>
      </c>
      <c r="B83" s="45"/>
      <c r="C83" s="144">
        <f t="shared" si="9"/>
        <v>0</v>
      </c>
      <c r="D83" s="155"/>
      <c r="E83" s="155"/>
      <c r="F83" s="155"/>
      <c r="G83" s="155"/>
      <c r="H83" s="155"/>
      <c r="I83" s="155"/>
      <c r="J83" s="155"/>
      <c r="K83" s="157"/>
      <c r="L83" s="158"/>
    </row>
    <row r="84" spans="1:12" ht="27" customHeight="1">
      <c r="A84" s="180" t="str">
        <f>IF(AND(C83&gt;0,C65&gt;0),"Sind die vorstehenden Werbungskosten als Betriebsausgabe in der EKS enthalten?","")</f>
        <v/>
      </c>
      <c r="B84" s="1923" t="str">
        <f>IF(AND(C83&gt;0,C65&gt;0),"→→→→→→","")</f>
        <v/>
      </c>
      <c r="C84" s="1923"/>
      <c r="D84" s="155"/>
      <c r="E84" s="155"/>
      <c r="F84" s="155"/>
      <c r="G84" s="155"/>
      <c r="H84" s="181"/>
      <c r="I84" s="181"/>
      <c r="J84" s="181"/>
      <c r="K84" s="157"/>
      <c r="L84" s="158"/>
    </row>
    <row r="85" spans="1:12" ht="17.25" customHeight="1">
      <c r="A85" s="182" t="s">
        <v>81</v>
      </c>
      <c r="B85" s="45"/>
      <c r="C85" s="144"/>
      <c r="D85" s="155" t="s">
        <v>27</v>
      </c>
      <c r="E85" s="155" t="s">
        <v>27</v>
      </c>
      <c r="F85" s="155" t="s">
        <v>27</v>
      </c>
      <c r="G85" s="155" t="s">
        <v>27</v>
      </c>
      <c r="H85" s="183" t="s">
        <v>28</v>
      </c>
      <c r="I85" s="183"/>
      <c r="J85" s="183"/>
      <c r="K85" s="157"/>
      <c r="L85" s="158"/>
    </row>
    <row r="86" spans="1:12">
      <c r="A86" s="184" t="str">
        <f>IF(C86&gt;0,"Monatliches Bruttoeinkommen (nur für Riestervetrag)","")</f>
        <v/>
      </c>
      <c r="B86" s="45"/>
      <c r="C86" s="144">
        <f>SUM(D86:L86)</f>
        <v>0</v>
      </c>
      <c r="D86" s="185">
        <f>IF(D85="ja",Zusatzeingaben!C208,0)</f>
        <v>0</v>
      </c>
      <c r="E86" s="185">
        <f>IF(E85="ja",Zusatzeingaben!D208,0)</f>
        <v>0</v>
      </c>
      <c r="F86" s="185">
        <f>IF(F85="ja",Zusatzeingaben!E208,0)</f>
        <v>0</v>
      </c>
      <c r="G86" s="185">
        <f>IF(G85="ja",Zusatzeingaben!F208,0)</f>
        <v>0</v>
      </c>
      <c r="H86" s="185"/>
      <c r="I86" s="185"/>
      <c r="J86" s="185"/>
      <c r="K86" s="157"/>
      <c r="L86" s="158"/>
    </row>
    <row r="87" spans="1:12">
      <c r="A87" s="45" t="s">
        <v>82</v>
      </c>
      <c r="B87" s="45"/>
      <c r="C87" s="144">
        <f>SUM(D87:L87)</f>
        <v>0</v>
      </c>
      <c r="D87" s="155"/>
      <c r="E87" s="155"/>
      <c r="F87" s="155"/>
      <c r="G87" s="155"/>
      <c r="H87" s="155"/>
      <c r="I87" s="155"/>
      <c r="J87" s="155"/>
      <c r="K87" s="157"/>
      <c r="L87" s="158"/>
    </row>
    <row r="88" spans="1:12">
      <c r="A88" s="186"/>
      <c r="B88" s="186"/>
      <c r="C88" s="187"/>
      <c r="D88" s="188"/>
      <c r="E88" s="188"/>
      <c r="F88" s="188"/>
      <c r="G88" s="188"/>
      <c r="H88" s="188"/>
      <c r="I88" s="188"/>
      <c r="J88" s="188"/>
      <c r="K88" s="189"/>
      <c r="L88" s="190"/>
    </row>
    <row r="89" spans="1:12">
      <c r="A89" s="191" t="s">
        <v>83</v>
      </c>
      <c r="B89" s="191"/>
      <c r="C89" s="192">
        <f>SUM(D89:L89)</f>
        <v>0</v>
      </c>
      <c r="D89" s="193"/>
      <c r="E89" s="193"/>
      <c r="F89" s="193"/>
      <c r="G89" s="193"/>
      <c r="H89" s="193"/>
      <c r="I89" s="193"/>
      <c r="J89" s="193"/>
      <c r="K89" s="99"/>
      <c r="L89" s="100"/>
    </row>
    <row r="90" spans="1:12">
      <c r="A90" s="194" t="s">
        <v>84</v>
      </c>
      <c r="B90" s="195"/>
      <c r="C90" s="196">
        <f>SUM(D90:L90)</f>
        <v>0</v>
      </c>
      <c r="D90" s="197"/>
      <c r="E90" s="197"/>
      <c r="F90" s="197"/>
      <c r="G90" s="197"/>
      <c r="H90" s="197"/>
      <c r="I90" s="197"/>
      <c r="J90" s="198"/>
      <c r="K90" s="100"/>
      <c r="L90" s="100"/>
    </row>
    <row r="91" spans="1:12">
      <c r="A91" s="199" t="str">
        <f>IF(C90&gt;0,"vom Träger bereitgestellte Verpflegung","")</f>
        <v/>
      </c>
      <c r="B91" s="45"/>
      <c r="C91" s="144"/>
      <c r="D91" s="98"/>
      <c r="E91" s="98"/>
      <c r="F91" s="98"/>
      <c r="G91" s="98"/>
      <c r="H91" s="98"/>
      <c r="I91" s="98"/>
      <c r="J91" s="200"/>
      <c r="K91" s="100"/>
      <c r="L91" s="100"/>
    </row>
    <row r="92" spans="1:12">
      <c r="A92" s="199" t="str">
        <f>IF(C90&gt;0,"an durchschnittlich ____ Tagen im Monat","")</f>
        <v/>
      </c>
      <c r="B92" s="45"/>
      <c r="C92" s="144"/>
      <c r="D92" s="98"/>
      <c r="E92" s="98"/>
      <c r="F92" s="98"/>
      <c r="G92" s="98"/>
      <c r="H92" s="98"/>
      <c r="I92" s="98"/>
      <c r="J92" s="200"/>
      <c r="K92" s="100"/>
      <c r="L92" s="100"/>
    </row>
    <row r="93" spans="1:12">
      <c r="A93" s="199" t="str">
        <f>IF(SUM(D92:J92)&gt;0,"Wert Verpflegung","")</f>
        <v/>
      </c>
      <c r="B93" s="45"/>
      <c r="C93" s="144">
        <f>SUM(D93:J93)</f>
        <v>0</v>
      </c>
      <c r="D93" s="201">
        <f t="shared" ref="D93:J93" si="10">IF(D91="vollverpflegung",D23*D92*0.01,IF(D91="frühstück",D23*D92*0.002,IF(D91="mittagessen",D23*D92*0.004,IF(D91="abendessen",D23*D92*0.004,0))))</f>
        <v>0</v>
      </c>
      <c r="E93" s="201">
        <f t="shared" si="10"/>
        <v>0</v>
      </c>
      <c r="F93" s="201">
        <f t="shared" si="10"/>
        <v>0</v>
      </c>
      <c r="G93" s="201">
        <f t="shared" si="10"/>
        <v>0</v>
      </c>
      <c r="H93" s="201">
        <f t="shared" si="10"/>
        <v>0</v>
      </c>
      <c r="I93" s="201">
        <f t="shared" si="10"/>
        <v>0</v>
      </c>
      <c r="J93" s="202">
        <f t="shared" si="10"/>
        <v>0</v>
      </c>
      <c r="K93" s="100"/>
      <c r="L93" s="100"/>
    </row>
    <row r="94" spans="1:12">
      <c r="A94" s="203" t="str">
        <f>IF(C90&gt;0,"notwendige Ausgaben","")</f>
        <v/>
      </c>
      <c r="B94" s="204"/>
      <c r="C94" s="205">
        <f>SUM(D94:J94)</f>
        <v>0</v>
      </c>
      <c r="D94" s="206"/>
      <c r="E94" s="206"/>
      <c r="F94" s="206"/>
      <c r="G94" s="206"/>
      <c r="H94" s="206"/>
      <c r="I94" s="206"/>
      <c r="J94" s="207"/>
      <c r="K94" s="100"/>
      <c r="L94" s="100"/>
    </row>
    <row r="95" spans="1:12">
      <c r="A95" s="129" t="s">
        <v>85</v>
      </c>
      <c r="B95" s="129"/>
      <c r="C95" s="208">
        <f>SUM(D95:L95)</f>
        <v>0</v>
      </c>
      <c r="D95" s="209"/>
      <c r="E95" s="209"/>
      <c r="F95" s="209"/>
      <c r="G95" s="209"/>
      <c r="H95" s="209"/>
      <c r="I95" s="209"/>
      <c r="J95" s="209"/>
      <c r="K95" s="99"/>
      <c r="L95" s="100"/>
    </row>
    <row r="96" spans="1:12">
      <c r="A96" s="45"/>
      <c r="B96" s="45"/>
      <c r="C96" s="144">
        <f>SUM(D96:L96)</f>
        <v>0</v>
      </c>
      <c r="D96" s="210"/>
      <c r="E96" s="210"/>
      <c r="F96" s="210"/>
      <c r="G96" s="210"/>
      <c r="H96" s="210"/>
      <c r="I96" s="210"/>
      <c r="J96" s="210"/>
      <c r="K96" s="99"/>
      <c r="L96" s="100"/>
    </row>
    <row r="97" spans="1:12">
      <c r="A97" s="45" t="s">
        <v>86</v>
      </c>
      <c r="B97" s="45"/>
      <c r="C97" s="144">
        <f>SUM(D97:L97)</f>
        <v>0</v>
      </c>
      <c r="D97" s="146"/>
      <c r="E97" s="146"/>
      <c r="F97" s="146">
        <f>Zusatzeingaben!E192</f>
        <v>0</v>
      </c>
      <c r="G97" s="146">
        <f>Zusatzeingaben!F192</f>
        <v>0</v>
      </c>
      <c r="H97" s="146">
        <f>Zusatzeingaben!G192</f>
        <v>0</v>
      </c>
      <c r="I97" s="146">
        <f>Zusatzeingaben!H192</f>
        <v>0</v>
      </c>
      <c r="J97" s="146">
        <f>Zusatzeingaben!I192</f>
        <v>0</v>
      </c>
      <c r="K97" s="99"/>
      <c r="L97" s="100"/>
    </row>
    <row r="98" spans="1:12">
      <c r="A98" s="45" t="str">
        <f>IF(MAX(F21:J21)&gt;17,"Kind über 18, Kindergeld ggf. manuell eintragen","")</f>
        <v/>
      </c>
      <c r="B98" s="45"/>
      <c r="C98" s="144"/>
      <c r="D98" s="211"/>
      <c r="E98" s="211"/>
      <c r="F98" s="146"/>
      <c r="G98" s="146"/>
      <c r="H98" s="146"/>
      <c r="I98" s="146"/>
      <c r="J98" s="146"/>
      <c r="K98" s="99"/>
      <c r="L98" s="100"/>
    </row>
    <row r="99" spans="1:12">
      <c r="A99" s="45" t="s">
        <v>87</v>
      </c>
      <c r="B99" s="45"/>
      <c r="C99" s="144">
        <f>SUM(D99:L99)</f>
        <v>0</v>
      </c>
      <c r="D99" s="98"/>
      <c r="E99" s="98"/>
      <c r="F99" s="98"/>
      <c r="G99" s="98"/>
      <c r="H99" s="98"/>
      <c r="I99" s="98"/>
      <c r="J99" s="98"/>
      <c r="K99" s="99"/>
      <c r="L99" s="100"/>
    </row>
    <row r="100" spans="1:12">
      <c r="A100" s="184" t="s">
        <v>88</v>
      </c>
      <c r="B100" s="45"/>
      <c r="C100" s="144">
        <f>SUM(D100:L100)</f>
        <v>0</v>
      </c>
      <c r="D100" s="98"/>
      <c r="E100" s="98"/>
      <c r="F100" s="98">
        <f>Zusatzeingaben!E194</f>
        <v>0</v>
      </c>
      <c r="G100" s="98">
        <f>Zusatzeingaben!F194</f>
        <v>0</v>
      </c>
      <c r="H100" s="98">
        <f>Zusatzeingaben!G194</f>
        <v>0</v>
      </c>
      <c r="I100" s="98">
        <f>Zusatzeingaben!H194</f>
        <v>0</v>
      </c>
      <c r="J100" s="98">
        <f>Zusatzeingaben!I194</f>
        <v>0</v>
      </c>
      <c r="K100" s="99"/>
      <c r="L100" s="100"/>
    </row>
    <row r="101" spans="1:12" hidden="1">
      <c r="A101" s="45"/>
      <c r="B101" s="45"/>
      <c r="C101" s="144">
        <f>SUM(D101:L101)</f>
        <v>0</v>
      </c>
      <c r="D101" s="210"/>
      <c r="E101" s="210"/>
      <c r="F101" s="210">
        <f>F99+F100</f>
        <v>0</v>
      </c>
      <c r="G101" s="210">
        <f>G99+G100</f>
        <v>0</v>
      </c>
      <c r="H101" s="210">
        <f>H99+H100</f>
        <v>0</v>
      </c>
      <c r="I101" s="210">
        <f>I99+I100</f>
        <v>0</v>
      </c>
      <c r="J101" s="210">
        <f>J99+J100</f>
        <v>0</v>
      </c>
      <c r="K101" s="99"/>
      <c r="L101" s="100"/>
    </row>
    <row r="102" spans="1:12">
      <c r="A102" s="45" t="s">
        <v>89</v>
      </c>
      <c r="B102" s="45"/>
      <c r="C102" s="144">
        <f>SUM(D102:L102)</f>
        <v>0</v>
      </c>
      <c r="D102" s="146"/>
      <c r="E102" s="146"/>
      <c r="F102" s="146"/>
      <c r="G102" s="146"/>
      <c r="H102" s="146"/>
      <c r="I102" s="146"/>
      <c r="J102" s="146"/>
      <c r="K102" s="99"/>
      <c r="L102" s="100"/>
    </row>
    <row r="103" spans="1:12">
      <c r="A103" s="45" t="s">
        <v>90</v>
      </c>
      <c r="B103" s="45"/>
      <c r="C103" s="144">
        <f>SUM(D103:L103)</f>
        <v>0</v>
      </c>
      <c r="D103" s="146"/>
      <c r="E103" s="146"/>
      <c r="F103" s="146"/>
      <c r="G103" s="146"/>
      <c r="H103" s="146"/>
      <c r="I103" s="146"/>
      <c r="J103" s="146"/>
      <c r="K103" s="99"/>
      <c r="L103" s="100"/>
    </row>
    <row r="104" spans="1:12" ht="18">
      <c r="A104" s="212" t="s">
        <v>91</v>
      </c>
      <c r="B104" s="213" t="str">
        <f>IF(OR(VALUE(D21)&gt;=63,VALUE(E21)&gt;=63),"→→→→→","")</f>
        <v/>
      </c>
      <c r="C104" s="144"/>
      <c r="D104" s="146"/>
      <c r="E104" s="146"/>
      <c r="F104" s="146"/>
      <c r="G104" s="146"/>
      <c r="H104" s="146"/>
      <c r="I104" s="146"/>
      <c r="J104" s="146"/>
      <c r="K104" s="99"/>
      <c r="L104" s="100"/>
    </row>
    <row r="105" spans="1:12">
      <c r="A105" s="45" t="s">
        <v>92</v>
      </c>
      <c r="B105" s="45"/>
      <c r="C105" s="144">
        <f>SUM(D105:L105)</f>
        <v>0</v>
      </c>
      <c r="D105" s="98"/>
      <c r="E105" s="98"/>
      <c r="F105" s="98"/>
      <c r="G105" s="98"/>
      <c r="H105" s="98"/>
      <c r="I105" s="98"/>
      <c r="J105" s="98"/>
      <c r="K105" s="99"/>
      <c r="L105" s="100"/>
    </row>
    <row r="106" spans="1:12" ht="15.75">
      <c r="A106" s="214" t="s">
        <v>93</v>
      </c>
      <c r="B106" s="45"/>
      <c r="C106" s="144">
        <f>SUM(D106:L106)</f>
        <v>0</v>
      </c>
      <c r="D106" s="98"/>
      <c r="E106" s="98"/>
      <c r="F106" s="98"/>
      <c r="G106" s="98"/>
      <c r="H106" s="98"/>
      <c r="I106" s="98"/>
      <c r="J106" s="98"/>
      <c r="K106" s="99"/>
      <c r="L106" s="100"/>
    </row>
    <row r="107" spans="1:12">
      <c r="A107" s="62" t="s">
        <v>94</v>
      </c>
      <c r="B107" s="45"/>
      <c r="C107" s="144">
        <f>SUM(D107:L107)</f>
        <v>0</v>
      </c>
      <c r="D107" s="98"/>
      <c r="E107" s="98"/>
      <c r="F107" s="98"/>
      <c r="G107" s="98"/>
      <c r="H107" s="98"/>
      <c r="I107" s="98"/>
      <c r="J107" s="98"/>
      <c r="K107" s="99"/>
      <c r="L107" s="100"/>
    </row>
    <row r="108" spans="1:12">
      <c r="A108" s="45" t="s">
        <v>95</v>
      </c>
      <c r="B108" s="45"/>
      <c r="C108" s="144">
        <f>SUM(D108:L108)</f>
        <v>0</v>
      </c>
      <c r="D108" s="146"/>
      <c r="E108" s="146"/>
      <c r="F108" s="146"/>
      <c r="G108" s="146"/>
      <c r="H108" s="146"/>
      <c r="I108" s="146"/>
      <c r="J108" s="146"/>
      <c r="K108" s="99"/>
      <c r="L108" s="100"/>
    </row>
    <row r="109" spans="1:12" ht="25.5">
      <c r="A109" s="62" t="s">
        <v>96</v>
      </c>
      <c r="B109" s="45"/>
      <c r="C109" s="175">
        <f>SUM(D109:L109)</f>
        <v>0</v>
      </c>
      <c r="D109" s="215"/>
      <c r="E109" s="137"/>
      <c r="F109" s="137"/>
      <c r="G109" s="137"/>
      <c r="H109" s="137"/>
      <c r="I109" s="137"/>
      <c r="J109" s="137"/>
      <c r="K109" s="126"/>
      <c r="L109" s="127"/>
    </row>
    <row r="110" spans="1:12">
      <c r="A110" s="45" t="s">
        <v>97</v>
      </c>
      <c r="B110" s="45"/>
      <c r="C110" s="144">
        <f>SUM(D110:E110)</f>
        <v>0</v>
      </c>
      <c r="D110" s="216"/>
      <c r="E110" s="217"/>
      <c r="F110" s="137"/>
      <c r="G110" s="137"/>
      <c r="H110" s="137"/>
      <c r="I110" s="137"/>
      <c r="J110" s="137"/>
      <c r="K110" s="126"/>
      <c r="L110" s="127"/>
    </row>
    <row r="111" spans="1:12" ht="25.5">
      <c r="A111" s="62" t="s">
        <v>98</v>
      </c>
      <c r="B111" s="45"/>
      <c r="C111" s="175">
        <f>SUM(D111:E111)</f>
        <v>0</v>
      </c>
      <c r="D111" s="218"/>
      <c r="E111" s="219"/>
      <c r="F111" s="137"/>
      <c r="G111" s="137"/>
      <c r="H111" s="137"/>
      <c r="I111" s="137"/>
      <c r="J111" s="137"/>
      <c r="K111" s="126"/>
      <c r="L111" s="127"/>
    </row>
    <row r="112" spans="1:12">
      <c r="A112" s="45" t="s">
        <v>99</v>
      </c>
      <c r="B112" s="45"/>
      <c r="C112" s="144">
        <f>SUM(D112:E112)</f>
        <v>0</v>
      </c>
      <c r="D112" s="220" t="s">
        <v>27</v>
      </c>
      <c r="E112" s="221" t="s">
        <v>27</v>
      </c>
      <c r="F112" s="137"/>
      <c r="G112" s="137"/>
      <c r="H112" s="137"/>
      <c r="I112" s="137"/>
      <c r="J112" s="137"/>
      <c r="K112" s="126"/>
      <c r="L112" s="127"/>
    </row>
    <row r="113" spans="1:12">
      <c r="A113" s="45" t="s">
        <v>100</v>
      </c>
      <c r="B113" s="45"/>
      <c r="C113" s="144">
        <f>SUM(D113:E113)</f>
        <v>0</v>
      </c>
      <c r="D113" s="216">
        <f>Berechnung!C119</f>
        <v>0</v>
      </c>
      <c r="E113" s="216">
        <f>Berechnung!D119</f>
        <v>0</v>
      </c>
      <c r="F113" s="137"/>
      <c r="G113" s="137"/>
      <c r="H113" s="137"/>
      <c r="I113" s="137"/>
      <c r="J113" s="137"/>
      <c r="K113" s="126"/>
      <c r="L113" s="127"/>
    </row>
    <row r="114" spans="1:12">
      <c r="A114" s="45" t="s">
        <v>101</v>
      </c>
      <c r="B114" s="45"/>
      <c r="C114" s="144">
        <f>SUM(F114:L114)</f>
        <v>0</v>
      </c>
      <c r="D114" s="222">
        <f>Berechnung!C137</f>
        <v>0</v>
      </c>
      <c r="E114" s="223"/>
      <c r="F114" s="137"/>
      <c r="G114" s="137"/>
      <c r="H114" s="137"/>
      <c r="I114" s="137"/>
      <c r="J114" s="137"/>
      <c r="K114" s="126"/>
      <c r="L114" s="127"/>
    </row>
    <row r="115" spans="1:12" hidden="1">
      <c r="A115" s="224" t="s">
        <v>102</v>
      </c>
      <c r="B115" s="224"/>
      <c r="C115" s="86">
        <f t="shared" ref="C115:C120" si="11">SUM(D115:L115)</f>
        <v>0</v>
      </c>
      <c r="D115" s="225">
        <f t="shared" ref="D115:J115" si="12">SUM(D63,D65)</f>
        <v>0</v>
      </c>
      <c r="E115" s="225">
        <f t="shared" si="12"/>
        <v>0</v>
      </c>
      <c r="F115" s="225">
        <f t="shared" si="12"/>
        <v>0</v>
      </c>
      <c r="G115" s="225">
        <f t="shared" si="12"/>
        <v>0</v>
      </c>
      <c r="H115" s="225">
        <f t="shared" si="12"/>
        <v>0</v>
      </c>
      <c r="I115" s="225">
        <f t="shared" si="12"/>
        <v>0</v>
      </c>
      <c r="J115" s="225">
        <f t="shared" si="12"/>
        <v>0</v>
      </c>
      <c r="K115" s="226"/>
      <c r="L115" s="227"/>
    </row>
    <row r="116" spans="1:12" hidden="1">
      <c r="A116" s="224" t="s">
        <v>103</v>
      </c>
      <c r="B116" s="224"/>
      <c r="C116" s="86">
        <f t="shared" si="11"/>
        <v>0</v>
      </c>
      <c r="D116" s="225">
        <f t="shared" ref="D116:J116" si="13">SUM(D64,D65)</f>
        <v>0</v>
      </c>
      <c r="E116" s="225">
        <f t="shared" si="13"/>
        <v>0</v>
      </c>
      <c r="F116" s="225">
        <f t="shared" si="13"/>
        <v>0</v>
      </c>
      <c r="G116" s="225">
        <f t="shared" si="13"/>
        <v>0</v>
      </c>
      <c r="H116" s="225">
        <f t="shared" si="13"/>
        <v>0</v>
      </c>
      <c r="I116" s="225">
        <f t="shared" si="13"/>
        <v>0</v>
      </c>
      <c r="J116" s="225">
        <f t="shared" si="13"/>
        <v>0</v>
      </c>
      <c r="K116" s="226"/>
      <c r="L116" s="227"/>
    </row>
    <row r="117" spans="1:12" hidden="1">
      <c r="A117" s="224" t="s">
        <v>104</v>
      </c>
      <c r="B117" s="224"/>
      <c r="C117" s="86">
        <f t="shared" si="11"/>
        <v>0</v>
      </c>
      <c r="D117" s="228">
        <f t="shared" ref="D117:J117" si="14">SUM(D89:D110)-D113</f>
        <v>0</v>
      </c>
      <c r="E117" s="228">
        <f t="shared" si="14"/>
        <v>0</v>
      </c>
      <c r="F117" s="228">
        <f t="shared" si="14"/>
        <v>0</v>
      </c>
      <c r="G117" s="228">
        <f t="shared" si="14"/>
        <v>0</v>
      </c>
      <c r="H117" s="228">
        <f t="shared" si="14"/>
        <v>0</v>
      </c>
      <c r="I117" s="228">
        <f t="shared" si="14"/>
        <v>0</v>
      </c>
      <c r="J117" s="228">
        <f t="shared" si="14"/>
        <v>0</v>
      </c>
      <c r="K117" s="229"/>
      <c r="L117" s="230"/>
    </row>
    <row r="118" spans="1:12" hidden="1">
      <c r="A118" s="224" t="s">
        <v>105</v>
      </c>
      <c r="B118" s="224"/>
      <c r="C118" s="86">
        <f t="shared" si="11"/>
        <v>0</v>
      </c>
      <c r="D118" s="225">
        <f t="shared" ref="D118:J118" si="15">IF((D103+D116)&gt;0,MIN(D103+D116,100),0)</f>
        <v>0</v>
      </c>
      <c r="E118" s="225">
        <f t="shared" si="15"/>
        <v>0</v>
      </c>
      <c r="F118" s="225">
        <f t="shared" si="15"/>
        <v>0</v>
      </c>
      <c r="G118" s="225">
        <f t="shared" si="15"/>
        <v>0</v>
      </c>
      <c r="H118" s="225">
        <f t="shared" si="15"/>
        <v>0</v>
      </c>
      <c r="I118" s="225">
        <f t="shared" si="15"/>
        <v>0</v>
      </c>
      <c r="J118" s="225">
        <f t="shared" si="15"/>
        <v>0</v>
      </c>
      <c r="K118" s="226"/>
      <c r="L118" s="227"/>
    </row>
    <row r="119" spans="1:12" hidden="1">
      <c r="A119" s="224" t="s">
        <v>106</v>
      </c>
      <c r="B119" s="224"/>
      <c r="C119" s="86">
        <f t="shared" si="11"/>
        <v>0</v>
      </c>
      <c r="D119" s="225">
        <f t="shared" ref="D119:J119" si="16">IF(D89&gt;0,MIN(D89,200),0)</f>
        <v>0</v>
      </c>
      <c r="E119" s="225">
        <f t="shared" si="16"/>
        <v>0</v>
      </c>
      <c r="F119" s="225">
        <f t="shared" si="16"/>
        <v>0</v>
      </c>
      <c r="G119" s="225">
        <f t="shared" si="16"/>
        <v>0</v>
      </c>
      <c r="H119" s="225">
        <f t="shared" si="16"/>
        <v>0</v>
      </c>
      <c r="I119" s="225">
        <f t="shared" si="16"/>
        <v>0</v>
      </c>
      <c r="J119" s="225">
        <f t="shared" si="16"/>
        <v>0</v>
      </c>
      <c r="K119" s="226"/>
      <c r="L119" s="227"/>
    </row>
    <row r="120" spans="1:12" hidden="1">
      <c r="A120" s="224" t="s">
        <v>107</v>
      </c>
      <c r="B120" s="224"/>
      <c r="C120" s="86">
        <f t="shared" si="11"/>
        <v>0</v>
      </c>
      <c r="D120" s="225">
        <f t="shared" ref="D120:J120" si="17">MIN(D118+D119,200)</f>
        <v>0</v>
      </c>
      <c r="E120" s="225">
        <f t="shared" si="17"/>
        <v>0</v>
      </c>
      <c r="F120" s="225">
        <f t="shared" si="17"/>
        <v>0</v>
      </c>
      <c r="G120" s="225">
        <f t="shared" si="17"/>
        <v>0</v>
      </c>
      <c r="H120" s="225">
        <f t="shared" si="17"/>
        <v>0</v>
      </c>
      <c r="I120" s="225">
        <f t="shared" si="17"/>
        <v>0</v>
      </c>
      <c r="J120" s="225">
        <f t="shared" si="17"/>
        <v>0</v>
      </c>
      <c r="K120" s="226"/>
      <c r="L120" s="227"/>
    </row>
    <row r="121" spans="1:12" hidden="1">
      <c r="A121" s="224" t="s">
        <v>108</v>
      </c>
      <c r="B121" s="224"/>
      <c r="C121" s="86"/>
      <c r="D121" s="225">
        <f t="shared" ref="D121:J121" si="18">IF(SUM(D115+D117)=D97,0,IF(SUM(D115+D117)=(D97+D103),0,SUM(D115+D89+D103-D97)))</f>
        <v>0</v>
      </c>
      <c r="E121" s="225">
        <f t="shared" si="18"/>
        <v>0</v>
      </c>
      <c r="F121" s="225">
        <f t="shared" si="18"/>
        <v>0</v>
      </c>
      <c r="G121" s="225">
        <f t="shared" si="18"/>
        <v>0</v>
      </c>
      <c r="H121" s="225">
        <f t="shared" si="18"/>
        <v>0</v>
      </c>
      <c r="I121" s="225">
        <f t="shared" si="18"/>
        <v>0</v>
      </c>
      <c r="J121" s="225">
        <f t="shared" si="18"/>
        <v>0</v>
      </c>
      <c r="K121" s="226"/>
      <c r="L121" s="227"/>
    </row>
    <row r="122" spans="1:12" ht="25.5" hidden="1">
      <c r="A122" s="224" t="s">
        <v>109</v>
      </c>
      <c r="B122" s="231">
        <v>0.2</v>
      </c>
      <c r="C122" s="86">
        <f>SUM(D122:L122)</f>
        <v>0</v>
      </c>
      <c r="D122" s="225">
        <f t="shared" ref="D122:J122" si="19">IF((D$115+D$117-D120)&lt;=0,0,IF(D121=D120,0,IF((D121-D120)&lt;0,0,MIN((D$121-100),900)*$B122)))</f>
        <v>0</v>
      </c>
      <c r="E122" s="225">
        <f t="shared" si="19"/>
        <v>0</v>
      </c>
      <c r="F122" s="225">
        <f t="shared" si="19"/>
        <v>0</v>
      </c>
      <c r="G122" s="225">
        <f t="shared" si="19"/>
        <v>0</v>
      </c>
      <c r="H122" s="225">
        <f t="shared" si="19"/>
        <v>0</v>
      </c>
      <c r="I122" s="225">
        <f t="shared" si="19"/>
        <v>0</v>
      </c>
      <c r="J122" s="225">
        <f t="shared" si="19"/>
        <v>0</v>
      </c>
      <c r="K122" s="226"/>
      <c r="L122" s="227"/>
    </row>
    <row r="123" spans="1:12" ht="25.5" hidden="1">
      <c r="A123" s="224" t="s">
        <v>110</v>
      </c>
      <c r="B123" s="224"/>
      <c r="C123" s="225"/>
      <c r="D123" s="232">
        <f>IF(D25="Ja",1500,IF(SUM($F$23:$L$23)&gt;0,1500,1200))</f>
        <v>1200</v>
      </c>
      <c r="E123" s="232">
        <f>IF(E25="Ja",1500,IF(SUM($F$23:$L$23)&gt;0,1500,1200))</f>
        <v>1200</v>
      </c>
      <c r="F123" s="232">
        <v>1200</v>
      </c>
      <c r="G123" s="232">
        <v>1200</v>
      </c>
      <c r="H123" s="232">
        <v>1200</v>
      </c>
      <c r="I123" s="232">
        <v>1200</v>
      </c>
      <c r="J123" s="232">
        <v>1200</v>
      </c>
      <c r="K123" s="233"/>
      <c r="L123" s="234"/>
    </row>
    <row r="124" spans="1:12" ht="25.5" hidden="1">
      <c r="A124" s="224" t="s">
        <v>111</v>
      </c>
      <c r="B124" s="231">
        <v>0.1</v>
      </c>
      <c r="C124" s="86">
        <f t="shared" ref="C124:C129" si="20">SUM(D124:L124)</f>
        <v>0</v>
      </c>
      <c r="D124" s="232">
        <f t="shared" ref="D124:J124" si="21">IF((D$115-1000)&gt;0,MIN((D$115-1000),(D123-1000))*$B124,0)</f>
        <v>0</v>
      </c>
      <c r="E124" s="232">
        <f t="shared" si="21"/>
        <v>0</v>
      </c>
      <c r="F124" s="232">
        <f t="shared" si="21"/>
        <v>0</v>
      </c>
      <c r="G124" s="232">
        <f t="shared" si="21"/>
        <v>0</v>
      </c>
      <c r="H124" s="232">
        <f t="shared" si="21"/>
        <v>0</v>
      </c>
      <c r="I124" s="232">
        <f t="shared" si="21"/>
        <v>0</v>
      </c>
      <c r="J124" s="232">
        <f t="shared" si="21"/>
        <v>0</v>
      </c>
      <c r="K124" s="233"/>
      <c r="L124" s="234"/>
    </row>
    <row r="125" spans="1:12" ht="25.5" hidden="1">
      <c r="A125" s="224" t="s">
        <v>112</v>
      </c>
      <c r="B125" s="224"/>
      <c r="C125" s="86">
        <f t="shared" si="20"/>
        <v>166.69</v>
      </c>
      <c r="D125" s="232">
        <f t="shared" ref="D125:J125" si="22">D70</f>
        <v>0</v>
      </c>
      <c r="E125" s="232">
        <f t="shared" si="22"/>
        <v>166.69</v>
      </c>
      <c r="F125" s="232">
        <f t="shared" si="22"/>
        <v>0</v>
      </c>
      <c r="G125" s="232">
        <f t="shared" si="22"/>
        <v>0</v>
      </c>
      <c r="H125" s="232">
        <f t="shared" si="22"/>
        <v>0</v>
      </c>
      <c r="I125" s="232">
        <f t="shared" si="22"/>
        <v>0</v>
      </c>
      <c r="J125" s="232">
        <f t="shared" si="22"/>
        <v>0</v>
      </c>
      <c r="K125" s="233"/>
      <c r="L125" s="234"/>
    </row>
    <row r="126" spans="1:12" ht="25.5" hidden="1">
      <c r="A126" s="224" t="s">
        <v>113</v>
      </c>
      <c r="B126" s="231"/>
      <c r="C126" s="86">
        <f t="shared" si="20"/>
        <v>0</v>
      </c>
      <c r="D126" s="232">
        <f t="shared" ref="D126:J126" si="23">D78/12</f>
        <v>0</v>
      </c>
      <c r="E126" s="232">
        <f t="shared" si="23"/>
        <v>0</v>
      </c>
      <c r="F126" s="232">
        <f t="shared" si="23"/>
        <v>0</v>
      </c>
      <c r="G126" s="232">
        <f t="shared" si="23"/>
        <v>0</v>
      </c>
      <c r="H126" s="232">
        <f t="shared" si="23"/>
        <v>0</v>
      </c>
      <c r="I126" s="232">
        <f t="shared" si="23"/>
        <v>0</v>
      </c>
      <c r="J126" s="232">
        <f t="shared" si="23"/>
        <v>0</v>
      </c>
      <c r="K126" s="233"/>
      <c r="L126" s="234"/>
    </row>
    <row r="127" spans="1:12" hidden="1">
      <c r="A127" s="224" t="s">
        <v>114</v>
      </c>
      <c r="B127" s="224"/>
      <c r="C127" s="86">
        <f t="shared" si="20"/>
        <v>0</v>
      </c>
      <c r="D127" s="232">
        <f t="shared" ref="D127:J127" si="24">D79+D87</f>
        <v>0</v>
      </c>
      <c r="E127" s="232">
        <f t="shared" si="24"/>
        <v>0</v>
      </c>
      <c r="F127" s="232">
        <f t="shared" si="24"/>
        <v>0</v>
      </c>
      <c r="G127" s="232">
        <f t="shared" si="24"/>
        <v>0</v>
      </c>
      <c r="H127" s="232">
        <f t="shared" si="24"/>
        <v>0</v>
      </c>
      <c r="I127" s="232">
        <f t="shared" si="24"/>
        <v>0</v>
      </c>
      <c r="J127" s="232">
        <f t="shared" si="24"/>
        <v>0</v>
      </c>
      <c r="K127" s="233"/>
      <c r="L127" s="234"/>
    </row>
    <row r="128" spans="1:12" hidden="1">
      <c r="A128" s="224" t="s">
        <v>115</v>
      </c>
      <c r="B128" s="235">
        <f>COUNTIF(F22:L22,"Ja")</f>
        <v>5</v>
      </c>
      <c r="C128" s="86">
        <f t="shared" si="20"/>
        <v>20</v>
      </c>
      <c r="D128" s="232">
        <f>IF(D86&lt;&gt;"",MAX(((D115+D117)*(3-$B128*1.5)/100),5,0))</f>
        <v>5</v>
      </c>
      <c r="E128" s="232">
        <f>IF(E86&lt;&gt;"",MAX(((E115+E117)*(3-$B128*1.5)/100),5,0))</f>
        <v>5</v>
      </c>
      <c r="F128" s="232">
        <f>IF(F86&lt;&gt;"",MAX((F115+F117)*3/100,5),0)</f>
        <v>5</v>
      </c>
      <c r="G128" s="232">
        <f>IF(G86&lt;&gt;"",MAX((G115+G117)*3/100,5),0)</f>
        <v>5</v>
      </c>
      <c r="H128" s="232">
        <f>IF(H86&lt;&gt;"",MAX((H115+H117)*3/100,5),0)</f>
        <v>0</v>
      </c>
      <c r="I128" s="232">
        <f>IF(I86&lt;&gt;"",MAX((I115+I117)*3/100,5),0)</f>
        <v>0</v>
      </c>
      <c r="J128" s="232">
        <f>IF(J86&lt;&gt;"",MAX((J115+J117)*3/100,5),0)</f>
        <v>0</v>
      </c>
      <c r="K128" s="233"/>
      <c r="L128" s="234"/>
    </row>
    <row r="129" spans="1:12" hidden="1">
      <c r="A129" s="224" t="s">
        <v>116</v>
      </c>
      <c r="B129" s="224"/>
      <c r="C129" s="86">
        <f t="shared" si="20"/>
        <v>0</v>
      </c>
      <c r="D129" s="232">
        <f t="shared" ref="D129:J129" si="25">D82+D83</f>
        <v>0</v>
      </c>
      <c r="E129" s="232">
        <f t="shared" si="25"/>
        <v>0</v>
      </c>
      <c r="F129" s="232">
        <f t="shared" si="25"/>
        <v>0</v>
      </c>
      <c r="G129" s="232">
        <f t="shared" si="25"/>
        <v>0</v>
      </c>
      <c r="H129" s="232">
        <f t="shared" si="25"/>
        <v>0</v>
      </c>
      <c r="I129" s="232">
        <f t="shared" si="25"/>
        <v>0</v>
      </c>
      <c r="J129" s="232">
        <f t="shared" si="25"/>
        <v>0</v>
      </c>
      <c r="K129" s="233"/>
      <c r="L129" s="234"/>
    </row>
    <row r="130" spans="1:12" hidden="1">
      <c r="A130" s="224" t="s">
        <v>117</v>
      </c>
      <c r="B130" s="224"/>
      <c r="C130" s="236"/>
      <c r="D130" s="232">
        <f>D81</f>
        <v>0</v>
      </c>
      <c r="E130" s="232">
        <f>E81</f>
        <v>0</v>
      </c>
      <c r="F130" s="237"/>
      <c r="G130" s="237"/>
      <c r="H130" s="237"/>
      <c r="I130" s="237"/>
      <c r="J130" s="237"/>
      <c r="K130" s="238"/>
      <c r="L130" s="239"/>
    </row>
    <row r="131" spans="1:12" hidden="1">
      <c r="A131" s="224" t="s">
        <v>118</v>
      </c>
      <c r="B131" s="224"/>
      <c r="C131" s="86">
        <f t="shared" ref="C131:C140" si="26">SUM(D131:L131)</f>
        <v>0</v>
      </c>
      <c r="D131" s="232">
        <f t="shared" ref="D131:J131" si="27">IF(AND(D103&gt;0,SUM(D126:D129)&lt;D103),MIN(D103,100),0)</f>
        <v>0</v>
      </c>
      <c r="E131" s="232">
        <f t="shared" si="27"/>
        <v>0</v>
      </c>
      <c r="F131" s="232">
        <f t="shared" si="27"/>
        <v>0</v>
      </c>
      <c r="G131" s="232">
        <f t="shared" si="27"/>
        <v>0</v>
      </c>
      <c r="H131" s="232">
        <f t="shared" si="27"/>
        <v>0</v>
      </c>
      <c r="I131" s="232">
        <f t="shared" si="27"/>
        <v>0</v>
      </c>
      <c r="J131" s="232">
        <f t="shared" si="27"/>
        <v>0</v>
      </c>
      <c r="K131" s="233"/>
      <c r="L131" s="234"/>
    </row>
    <row r="132" spans="1:12" hidden="1">
      <c r="A132" s="224" t="s">
        <v>119</v>
      </c>
      <c r="B132" s="224"/>
      <c r="C132" s="86">
        <f t="shared" si="26"/>
        <v>186.69</v>
      </c>
      <c r="D132" s="232">
        <f t="shared" ref="D132:J132" si="28">SUM(D70,D79:D83,D126,D128)</f>
        <v>5</v>
      </c>
      <c r="E132" s="232">
        <f t="shared" si="28"/>
        <v>171.69</v>
      </c>
      <c r="F132" s="232">
        <f t="shared" si="28"/>
        <v>5</v>
      </c>
      <c r="G132" s="232">
        <f t="shared" si="28"/>
        <v>5</v>
      </c>
      <c r="H132" s="232">
        <f t="shared" si="28"/>
        <v>0</v>
      </c>
      <c r="I132" s="232">
        <f t="shared" si="28"/>
        <v>0</v>
      </c>
      <c r="J132" s="232">
        <f t="shared" si="28"/>
        <v>0</v>
      </c>
      <c r="K132" s="233"/>
      <c r="L132" s="234"/>
    </row>
    <row r="133" spans="1:12" hidden="1">
      <c r="A133" s="224" t="s">
        <v>120</v>
      </c>
      <c r="B133" s="224"/>
      <c r="C133" s="86">
        <f t="shared" si="26"/>
        <v>0</v>
      </c>
      <c r="D133" s="232">
        <f>IF(SUM(D126:D130)&lt;=D120,SUM(D126:D130),D120)</f>
        <v>0</v>
      </c>
      <c r="E133" s="232">
        <f>IF(SUM(E126:E130)&lt;=E120,SUM(E126:E130),E120)</f>
        <v>0</v>
      </c>
      <c r="F133" s="232">
        <f>IF(SUM(F126:F129)&lt;=F120,SUM(F126:F129),F120)</f>
        <v>0</v>
      </c>
      <c r="G133" s="232">
        <f>IF(SUM(G126:G129)&lt;=G120,SUM(G126:G129),G120)</f>
        <v>0</v>
      </c>
      <c r="H133" s="232">
        <f>IF(SUM(H126:H129)&lt;=H120,SUM(H126:H129),H120)</f>
        <v>0</v>
      </c>
      <c r="I133" s="232">
        <f>IF(SUM(I126:I129)&lt;=I120,SUM(I126:I129),I120)</f>
        <v>0</v>
      </c>
      <c r="J133" s="232">
        <f>IF(SUM(J126:J129)&lt;=J120,SUM(J126:J129),J120)</f>
        <v>0</v>
      </c>
      <c r="K133" s="233"/>
      <c r="L133" s="234"/>
    </row>
    <row r="134" spans="1:12" hidden="1">
      <c r="A134" s="224" t="s">
        <v>121</v>
      </c>
      <c r="B134" s="224"/>
      <c r="C134" s="86">
        <f t="shared" si="26"/>
        <v>20</v>
      </c>
      <c r="D134" s="232">
        <f t="shared" ref="D134:J134" si="29">SUM(D127:D129)</f>
        <v>5</v>
      </c>
      <c r="E134" s="232">
        <f t="shared" si="29"/>
        <v>5</v>
      </c>
      <c r="F134" s="232">
        <f t="shared" si="29"/>
        <v>5</v>
      </c>
      <c r="G134" s="232">
        <f t="shared" si="29"/>
        <v>5</v>
      </c>
      <c r="H134" s="232">
        <f t="shared" si="29"/>
        <v>0</v>
      </c>
      <c r="I134" s="232">
        <f t="shared" si="29"/>
        <v>0</v>
      </c>
      <c r="J134" s="232">
        <f t="shared" si="29"/>
        <v>0</v>
      </c>
      <c r="K134" s="233"/>
      <c r="L134" s="234"/>
    </row>
    <row r="135" spans="1:12" ht="25.5" hidden="1">
      <c r="A135" s="224" t="s">
        <v>122</v>
      </c>
      <c r="B135" s="224"/>
      <c r="C135" s="86">
        <f t="shared" si="26"/>
        <v>186.69</v>
      </c>
      <c r="D135" s="232">
        <f t="shared" ref="D135:J135" si="30">IF(D132&gt;D133,D132-(D133-D67))</f>
        <v>5</v>
      </c>
      <c r="E135" s="232">
        <f t="shared" si="30"/>
        <v>171.69</v>
      </c>
      <c r="F135" s="232">
        <f t="shared" si="30"/>
        <v>5</v>
      </c>
      <c r="G135" s="232">
        <f t="shared" si="30"/>
        <v>5</v>
      </c>
      <c r="H135" s="232" t="b">
        <f t="shared" si="30"/>
        <v>0</v>
      </c>
      <c r="I135" s="232" t="b">
        <f t="shared" si="30"/>
        <v>0</v>
      </c>
      <c r="J135" s="232" t="b">
        <f t="shared" si="30"/>
        <v>0</v>
      </c>
      <c r="K135" s="233"/>
      <c r="L135" s="234"/>
    </row>
    <row r="136" spans="1:12" hidden="1">
      <c r="A136" s="224" t="s">
        <v>123</v>
      </c>
      <c r="B136" s="224"/>
      <c r="C136" s="86">
        <f t="shared" si="26"/>
        <v>0</v>
      </c>
      <c r="D136" s="232">
        <f t="shared" ref="D136:J136" si="31">IF(AND(D115&gt;400,(D133)&gt;100),D133,MAX(D120,D131))</f>
        <v>0</v>
      </c>
      <c r="E136" s="232">
        <f t="shared" si="31"/>
        <v>0</v>
      </c>
      <c r="F136" s="232">
        <f t="shared" si="31"/>
        <v>0</v>
      </c>
      <c r="G136" s="232">
        <f t="shared" si="31"/>
        <v>0</v>
      </c>
      <c r="H136" s="232">
        <f t="shared" si="31"/>
        <v>0</v>
      </c>
      <c r="I136" s="232">
        <f t="shared" si="31"/>
        <v>0</v>
      </c>
      <c r="J136" s="232">
        <f t="shared" si="31"/>
        <v>0</v>
      </c>
      <c r="K136" s="233"/>
      <c r="L136" s="234"/>
    </row>
    <row r="137" spans="1:12">
      <c r="A137" s="240" t="s">
        <v>124</v>
      </c>
      <c r="B137" s="240"/>
      <c r="C137" s="144">
        <f t="shared" si="26"/>
        <v>0</v>
      </c>
      <c r="D137" s="241">
        <f>Berechnung!C70-Berechnung!C122+Berechnung!C138</f>
        <v>0</v>
      </c>
      <c r="E137" s="241">
        <f>Berechnung!D70-Berechnung!D122</f>
        <v>0</v>
      </c>
      <c r="F137" s="241">
        <f>Berechnung!E70-Berechnung!E122</f>
        <v>0</v>
      </c>
      <c r="G137" s="241">
        <f>Berechnung!F70-Berechnung!F122</f>
        <v>0</v>
      </c>
      <c r="H137" s="241">
        <f>Berechnung!G70-Berechnung!G122</f>
        <v>0</v>
      </c>
      <c r="I137" s="241">
        <f>Berechnung!H70-Berechnung!H122</f>
        <v>0</v>
      </c>
      <c r="J137" s="241">
        <f>Berechnung!I70-Berechnung!I122</f>
        <v>0</v>
      </c>
      <c r="K137" s="242"/>
      <c r="L137" s="243"/>
    </row>
    <row r="138" spans="1:12" hidden="1">
      <c r="A138" s="86" t="s">
        <v>125</v>
      </c>
      <c r="B138" s="86"/>
      <c r="C138" s="86">
        <f t="shared" si="26"/>
        <v>0</v>
      </c>
      <c r="D138" s="86">
        <f t="shared" ref="D138:J138" si="32">D116+D117-D137</f>
        <v>0</v>
      </c>
      <c r="E138" s="86">
        <f t="shared" si="32"/>
        <v>0</v>
      </c>
      <c r="F138" s="86">
        <f t="shared" si="32"/>
        <v>0</v>
      </c>
      <c r="G138" s="86">
        <f t="shared" si="32"/>
        <v>0</v>
      </c>
      <c r="H138" s="86">
        <f t="shared" si="32"/>
        <v>0</v>
      </c>
      <c r="I138" s="86">
        <f t="shared" si="32"/>
        <v>0</v>
      </c>
      <c r="J138" s="86">
        <f t="shared" si="32"/>
        <v>0</v>
      </c>
      <c r="K138" s="244"/>
      <c r="L138" s="245"/>
    </row>
    <row r="139" spans="1:12" hidden="1">
      <c r="A139" s="246" t="s">
        <v>126</v>
      </c>
      <c r="B139" s="246"/>
      <c r="C139" s="86">
        <f t="shared" si="26"/>
        <v>449</v>
      </c>
      <c r="D139" s="86">
        <f t="shared" ref="D139:J139" si="33">D140-D138</f>
        <v>449</v>
      </c>
      <c r="E139" s="86">
        <f t="shared" si="33"/>
        <v>0</v>
      </c>
      <c r="F139" s="86">
        <f t="shared" si="33"/>
        <v>0</v>
      </c>
      <c r="G139" s="86">
        <f t="shared" si="33"/>
        <v>0</v>
      </c>
      <c r="H139" s="86">
        <f t="shared" si="33"/>
        <v>0</v>
      </c>
      <c r="I139" s="86">
        <f t="shared" si="33"/>
        <v>0</v>
      </c>
      <c r="J139" s="86">
        <f t="shared" si="33"/>
        <v>0</v>
      </c>
      <c r="K139" s="244"/>
      <c r="L139" s="245"/>
    </row>
    <row r="140" spans="1:12" hidden="1">
      <c r="A140" s="86" t="s">
        <v>127</v>
      </c>
      <c r="B140" s="86"/>
      <c r="C140" s="86">
        <f t="shared" si="26"/>
        <v>449</v>
      </c>
      <c r="D140" s="86">
        <f t="shared" ref="D140:J140" si="34">D60</f>
        <v>449</v>
      </c>
      <c r="E140" s="86">
        <f t="shared" si="34"/>
        <v>0</v>
      </c>
      <c r="F140" s="86">
        <f t="shared" si="34"/>
        <v>0</v>
      </c>
      <c r="G140" s="86">
        <f t="shared" si="34"/>
        <v>0</v>
      </c>
      <c r="H140" s="86">
        <f t="shared" si="34"/>
        <v>0</v>
      </c>
      <c r="I140" s="86">
        <f t="shared" si="34"/>
        <v>0</v>
      </c>
      <c r="J140" s="86">
        <f t="shared" si="34"/>
        <v>0</v>
      </c>
      <c r="K140" s="244"/>
      <c r="L140" s="245"/>
    </row>
    <row r="141" spans="1:12" hidden="1">
      <c r="A141" s="247" t="s">
        <v>101</v>
      </c>
      <c r="B141" s="247"/>
      <c r="C141" s="86"/>
      <c r="D141" s="247"/>
      <c r="E141" s="247"/>
      <c r="F141" s="247" t="b">
        <f>IF(F139&lt;0,MIN(F139*-1,F97))</f>
        <v>0</v>
      </c>
      <c r="G141" s="247" t="b">
        <f>IF(G139&lt;0,MIN(G139*-1,G97))</f>
        <v>0</v>
      </c>
      <c r="H141" s="247" t="b">
        <f>IF(H139&lt;0,MIN(H139*-1,H97))</f>
        <v>0</v>
      </c>
      <c r="I141" s="247" t="b">
        <f>IF(I139&lt;0,MIN(I139*-1,I97))</f>
        <v>0</v>
      </c>
      <c r="J141" s="247" t="b">
        <f>IF(J139&lt;0,MIN(J139*-1,J97))</f>
        <v>0</v>
      </c>
      <c r="K141" s="244"/>
      <c r="L141" s="245"/>
    </row>
    <row r="142" spans="1:12" hidden="1">
      <c r="A142" s="248"/>
      <c r="B142" s="248"/>
      <c r="C142" s="86">
        <f>SUM(F141:L141)</f>
        <v>0</v>
      </c>
      <c r="D142" s="249"/>
      <c r="E142" s="249"/>
      <c r="F142" s="249"/>
      <c r="G142" s="249"/>
      <c r="H142" s="249"/>
      <c r="I142" s="249"/>
      <c r="J142" s="249"/>
      <c r="K142" s="244"/>
      <c r="L142" s="245"/>
    </row>
    <row r="143" spans="1:12">
      <c r="A143" s="250"/>
      <c r="B143" s="250"/>
      <c r="C143" s="250"/>
      <c r="D143" s="250"/>
      <c r="E143" s="250"/>
      <c r="F143" s="250"/>
      <c r="G143" s="250"/>
      <c r="H143" s="250"/>
      <c r="I143" s="250"/>
      <c r="J143" s="251"/>
      <c r="K143" s="244"/>
      <c r="L143" s="245"/>
    </row>
    <row r="144" spans="1:12">
      <c r="A144" s="250" t="str">
        <f>IF(C144&gt;0,"anerkannte Beiträge zur Riesterrente","")</f>
        <v/>
      </c>
      <c r="B144" s="250"/>
      <c r="C144" s="144">
        <f>SUM(D144:L144)</f>
        <v>0</v>
      </c>
      <c r="D144" s="250">
        <f>Berechnung!C92</f>
        <v>0</v>
      </c>
      <c r="E144" s="250">
        <f>Berechnung!D92</f>
        <v>0</v>
      </c>
      <c r="F144" s="250">
        <f>Berechnung!E92</f>
        <v>0</v>
      </c>
      <c r="G144" s="250">
        <f>Berechnung!F92</f>
        <v>0</v>
      </c>
      <c r="H144" s="250">
        <f>Berechnung!G92</f>
        <v>0</v>
      </c>
      <c r="I144" s="250">
        <f>Berechnung!H92</f>
        <v>0</v>
      </c>
      <c r="J144" s="250">
        <f>Berechnung!I92</f>
        <v>0</v>
      </c>
      <c r="K144" s="244"/>
      <c r="L144" s="245"/>
    </row>
    <row r="145" spans="1:12" ht="38.25">
      <c r="A145" s="252" t="s">
        <v>128</v>
      </c>
      <c r="B145" s="252"/>
      <c r="C145" s="253">
        <f>SUM(D145:L145)</f>
        <v>0</v>
      </c>
      <c r="D145" s="254">
        <f>IF(D65&gt;0,Berechnung!C117,0)</f>
        <v>0</v>
      </c>
      <c r="E145" s="254">
        <f>IF(E65&gt;0,Berechnung!D117,0)</f>
        <v>0</v>
      </c>
      <c r="F145" s="254">
        <f>IF(F65&gt;0,Berechnung!E117,0)</f>
        <v>0</v>
      </c>
      <c r="G145" s="254">
        <f>IF(G65&gt;0,Berechnung!F117,0)</f>
        <v>0</v>
      </c>
      <c r="H145" s="254">
        <f>IF(H65&gt;0,Berechnung!G117,0)</f>
        <v>0</v>
      </c>
      <c r="I145" s="254">
        <f>IF(I65&gt;0,Berechnung!H117,0)</f>
        <v>0</v>
      </c>
      <c r="J145" s="254">
        <f>IF(J65&gt;0,Berechnung!I117,0)</f>
        <v>0</v>
      </c>
      <c r="K145" s="60"/>
      <c r="L145" s="61"/>
    </row>
    <row r="146" spans="1:12">
      <c r="A146" s="252"/>
      <c r="B146" s="252"/>
      <c r="C146" s="253"/>
      <c r="D146" s="254"/>
      <c r="E146" s="254"/>
      <c r="F146" s="254"/>
      <c r="G146" s="254"/>
      <c r="H146" s="254"/>
      <c r="I146" s="254"/>
      <c r="J146" s="254"/>
      <c r="K146" s="60"/>
      <c r="L146" s="61"/>
    </row>
    <row r="147" spans="1:12">
      <c r="A147" s="252" t="str">
        <f>Eingabetabelle!$A$41</f>
        <v>Gesamtbedarf (nur Regelbedarf)</v>
      </c>
      <c r="B147" s="252"/>
      <c r="C147" s="253">
        <f>Eingabetabelle!$C$41</f>
        <v>449</v>
      </c>
      <c r="D147" s="254">
        <f>Eingabetabelle!$D$41</f>
        <v>449</v>
      </c>
      <c r="E147" s="254">
        <f>Eingabetabelle!$E$41</f>
        <v>0</v>
      </c>
      <c r="F147" s="254">
        <f>Eingabetabelle!$F$41</f>
        <v>0</v>
      </c>
      <c r="G147" s="254">
        <f>Eingabetabelle!$G$41</f>
        <v>0</v>
      </c>
      <c r="H147" s="254">
        <f>Eingabetabelle!$H$41</f>
        <v>0</v>
      </c>
      <c r="I147" s="254">
        <f>Eingabetabelle!$I$41</f>
        <v>0</v>
      </c>
      <c r="J147" s="254">
        <f>Eingabetabelle!$J$41</f>
        <v>0</v>
      </c>
      <c r="K147" s="60"/>
      <c r="L147" s="61"/>
    </row>
    <row r="148" spans="1:12">
      <c r="A148" s="255" t="str">
        <f>Eingabetabelle!$A$59</f>
        <v>Gesamtbedarf KdU (anerkannt)</v>
      </c>
      <c r="B148" s="255"/>
      <c r="C148" s="256">
        <f>Eingabetabelle!$C$59</f>
        <v>0</v>
      </c>
      <c r="D148" s="257"/>
      <c r="E148" s="257"/>
      <c r="F148" s="257"/>
      <c r="G148" s="257"/>
      <c r="H148" s="257"/>
      <c r="I148" s="257"/>
      <c r="J148" s="257"/>
      <c r="K148" s="60"/>
      <c r="L148" s="61"/>
    </row>
    <row r="149" spans="1:12">
      <c r="A149" s="258" t="str">
        <f>Eingabetabelle!$A$60</f>
        <v>Gesamtbedarfssumme</v>
      </c>
      <c r="B149" s="258"/>
      <c r="C149" s="258">
        <f>Eingabetabelle!$C$60</f>
        <v>449</v>
      </c>
      <c r="D149" s="258">
        <f>Eingabetabelle!$D$60</f>
        <v>449</v>
      </c>
      <c r="E149" s="258">
        <f>Eingabetabelle!$E$60</f>
        <v>0</v>
      </c>
      <c r="F149" s="258">
        <f>Eingabetabelle!$F$60</f>
        <v>0</v>
      </c>
      <c r="G149" s="258">
        <f>Eingabetabelle!$G$60</f>
        <v>0</v>
      </c>
      <c r="H149" s="258">
        <f>Eingabetabelle!$H$60</f>
        <v>0</v>
      </c>
      <c r="I149" s="258">
        <f>Eingabetabelle!$I$60</f>
        <v>0</v>
      </c>
      <c r="J149" s="259">
        <f>Eingabetabelle!$J$60</f>
        <v>0</v>
      </c>
      <c r="K149" s="260"/>
      <c r="L149" s="261"/>
    </row>
    <row r="150" spans="1:12" ht="15">
      <c r="A150" s="74" t="s">
        <v>129</v>
      </c>
      <c r="B150" s="262"/>
      <c r="C150" s="74">
        <f>SUM(D150:L150)</f>
        <v>0</v>
      </c>
      <c r="D150" s="59">
        <f>Berechnung!C122</f>
        <v>0</v>
      </c>
      <c r="E150" s="59">
        <f>Berechnung!D122</f>
        <v>0</v>
      </c>
      <c r="F150" s="59">
        <f>Berechnung!E122</f>
        <v>0</v>
      </c>
      <c r="G150" s="59">
        <f>Berechnung!F122</f>
        <v>0</v>
      </c>
      <c r="H150" s="59">
        <f>Berechnung!G122</f>
        <v>0</v>
      </c>
      <c r="I150" s="59">
        <f>Berechnung!H122</f>
        <v>0</v>
      </c>
      <c r="J150" s="59">
        <f>Berechnung!I122</f>
        <v>0</v>
      </c>
      <c r="K150" s="60"/>
      <c r="L150" s="61"/>
    </row>
    <row r="151" spans="1:12">
      <c r="A151" s="258"/>
      <c r="B151" s="258"/>
      <c r="C151" s="74">
        <f>SUM(D151:L151)</f>
        <v>0</v>
      </c>
      <c r="D151" s="258"/>
      <c r="E151" s="258"/>
      <c r="F151" s="258"/>
      <c r="G151" s="258"/>
      <c r="H151" s="258"/>
      <c r="I151" s="258"/>
      <c r="J151" s="258"/>
      <c r="K151" s="260"/>
      <c r="L151" s="261"/>
    </row>
    <row r="152" spans="1:12">
      <c r="A152" s="58" t="str">
        <f>IF(SUM(D152:L152)&lt;0,"Kein ALG II Anspruch, Bedarfsüberdeckung von","Zahlbetrag mit vollen Freibeträgen")</f>
        <v>Zahlbetrag mit vollen Freibeträgen</v>
      </c>
      <c r="B152" s="58"/>
      <c r="C152" s="74">
        <f>SUM(D152:L152)</f>
        <v>449</v>
      </c>
      <c r="D152" s="101">
        <f>Berechnung!C161</f>
        <v>449</v>
      </c>
      <c r="E152" s="101">
        <f>Berechnung!D161</f>
        <v>0</v>
      </c>
      <c r="F152" s="101">
        <f>Berechnung!E161</f>
        <v>0</v>
      </c>
      <c r="G152" s="101">
        <f>Berechnung!F161</f>
        <v>0</v>
      </c>
      <c r="H152" s="101">
        <f>Berechnung!G161</f>
        <v>0</v>
      </c>
      <c r="I152" s="101">
        <f>Berechnung!H161</f>
        <v>0</v>
      </c>
      <c r="J152" s="101">
        <f>Berechnung!I161</f>
        <v>0</v>
      </c>
      <c r="K152" s="60"/>
      <c r="L152" s="61"/>
    </row>
    <row r="153" spans="1:12" ht="50.25" hidden="1" customHeight="1">
      <c r="A153" s="263" t="str">
        <f>IF(AND(C152&lt;=0,C153&gt;0),"Es besteht vermutlich ein Anspruch auf Zuschuss zum Kranken- und Pflegekassenbeitrag in Höhe von ca."&amp;CHAR(10)&amp; "beim JobCentetr Antrag nach § 26 SGB II stellen","")</f>
        <v/>
      </c>
      <c r="B153" s="264" t="str">
        <f>IF(AND(C152&lt;=0,C153&gt;0),"→→→","")</f>
        <v/>
      </c>
      <c r="C153" s="265">
        <f>IF(C152&lt;=0,'§ 26'!B62,0)</f>
        <v>0</v>
      </c>
      <c r="D153" s="101"/>
      <c r="E153" s="101"/>
      <c r="F153" s="101"/>
      <c r="G153" s="101"/>
      <c r="H153" s="101"/>
      <c r="I153" s="101"/>
      <c r="J153" s="101"/>
      <c r="K153" s="60"/>
      <c r="L153" s="61"/>
    </row>
    <row r="154" spans="1:12">
      <c r="A154" s="58" t="str">
        <f>IF(AND(C145&gt;0,C152&gt;0),"Zahlbetrag ohne Berücksichtigung der Freibeträge","")</f>
        <v/>
      </c>
      <c r="B154" s="58"/>
      <c r="C154" s="58" t="str">
        <f>IF(A154&lt;&gt;"",C152-C145,"")</f>
        <v/>
      </c>
      <c r="D154" s="137"/>
      <c r="E154" s="137"/>
      <c r="F154" s="137"/>
      <c r="G154" s="137"/>
      <c r="H154" s="137"/>
      <c r="I154" s="137"/>
      <c r="J154" s="137"/>
      <c r="K154" s="126"/>
      <c r="L154" s="127"/>
    </row>
    <row r="155" spans="1:12">
      <c r="A155" s="266"/>
      <c r="B155" s="17"/>
      <c r="C155" s="267"/>
      <c r="D155" s="17"/>
      <c r="E155" s="17"/>
      <c r="F155" s="17"/>
      <c r="G155" s="17"/>
      <c r="H155" s="17"/>
      <c r="I155" s="17"/>
      <c r="J155" s="17"/>
      <c r="K155" s="17"/>
      <c r="L155" s="17"/>
    </row>
    <row r="156" spans="1:12">
      <c r="A156" s="268" t="str">
        <f>IF(AND(C97&gt;0,H13&lt;2016),"→→→ Die Rechnung ist fehlerhaft, bitte korrigieren Sie das Kindergeld in Zeile 67 manuell","Dieser Berechnungsbogen ist nur eine Näherungstabelle, deshalb wird für die Richtigkeit keine Haftung übernommen.")</f>
        <v>Dieser Berechnungsbogen ist nur eine Näherungstabelle, deshalb wird für die Richtigkeit keine Haftung übernommen.</v>
      </c>
      <c r="B156" s="269"/>
      <c r="C156" s="17"/>
      <c r="D156" s="17"/>
      <c r="E156" s="17"/>
      <c r="F156" s="17"/>
      <c r="G156" s="17"/>
      <c r="H156" s="17"/>
      <c r="I156" s="17"/>
      <c r="J156" s="17"/>
      <c r="K156" s="17"/>
      <c r="L156" s="17"/>
    </row>
    <row r="157" spans="1:12">
      <c r="A157" s="1924" t="str">
        <f>IF(C142&gt;0,"In Ihrem Fall liegt ein sog. Kindergeldüberhang vor. Dabei werden Fakten berücksichtigt, die hier im Rechner nicht abgefragt werden können. Daher kann der Zahlbetrag hier leider falsch sein, sowohl etwas zu hoch als auch etwas zu niedrig.","")</f>
        <v/>
      </c>
      <c r="B157" s="1924"/>
      <c r="C157" s="1924"/>
      <c r="D157" s="1924"/>
      <c r="E157" s="1924"/>
      <c r="F157" s="1924"/>
      <c r="G157" s="1924"/>
      <c r="H157" s="1924"/>
      <c r="I157" s="1924"/>
      <c r="J157" s="1924"/>
      <c r="K157" s="270"/>
      <c r="L157" s="270"/>
    </row>
    <row r="158" spans="1:12">
      <c r="A158" s="1924" t="str">
        <f>IF(COUNTIF(F152:L152,"&lt;0")&gt;0,"Mindestens eines der Kinder deckt seinen Bedarf selbst. Lassen Sie sich hierzu beraten, und prüfen Sie, ob u.U. Wohngeld für das Kind geantragt werden kann","")</f>
        <v/>
      </c>
      <c r="B158" s="1924"/>
      <c r="C158" s="1924"/>
      <c r="D158" s="1924"/>
      <c r="E158" s="1924"/>
      <c r="F158" s="1924"/>
      <c r="G158" s="1924"/>
      <c r="H158" s="1924"/>
      <c r="I158" s="1924"/>
      <c r="J158" s="1924"/>
      <c r="K158" s="270"/>
      <c r="L158" s="270"/>
    </row>
    <row r="159" spans="1:12">
      <c r="A159" s="270" t="str">
        <f>IF(COUNTIF(D150:L150,"&lt;0")&gt;0,"In Zeile 109 wird ein negatives Einkommen gezeigt und eingerechnet. Dies ist notwendig, um einen korrekten Zahlbetrag zu errechnen","")</f>
        <v/>
      </c>
      <c r="B159" s="270"/>
      <c r="C159" s="270"/>
      <c r="D159" s="270"/>
      <c r="E159" s="270"/>
      <c r="F159" s="270"/>
      <c r="G159" s="270"/>
      <c r="H159" s="270"/>
      <c r="I159" s="270"/>
      <c r="J159" s="270"/>
      <c r="K159" s="270"/>
      <c r="L159" s="270"/>
    </row>
    <row r="160" spans="1:12" ht="19.5" customHeight="1">
      <c r="A160" s="1925" t="s">
        <v>130</v>
      </c>
      <c r="B160" s="1926">
        <f>C152</f>
        <v>449</v>
      </c>
      <c r="D160" s="1927" t="s">
        <v>131</v>
      </c>
      <c r="E160" s="1927"/>
      <c r="F160" s="1928" t="str">
        <f>IF(AND(Zusatzeingaben!C241&lt;=0,Zusatzeingaben!C238&gt;Zusatzeingaben!C235),"Wohngeld beantragen!",IF(AND(Zusatzeingaben!C238&lt;=0,Zusatzeingaben!C241&gt;Zusatzeingaben!C235),"Kinderzuschlag beantragen!",IF(Zusatzeingaben!C238+Zusatzeingaben!C241&gt;Zusatzeingaben!C235,"Wohngeld und Kinderzuschlag beantragen!","")))</f>
        <v/>
      </c>
      <c r="G160" s="1928" t="str">
        <f>IF(AND(Zusatzeingaben!C241&lt;=0,Zusatzeingaben!C238&gt;Zusatzeingaben!C235),"Wohngeld beantragen!",IF(AND(Zusatzeingaben!C238&lt;=0,Zusatzeingaben!C241&gt;Zusatzeingaben!C235),"Kinderzuschlag beantragen!",IF(Zusatzeingaben!C238+Zusatzeingaben!C241&gt;Zusatzeingaben!C235,"Wohngeld und Kinderzuschlag beantragen!","")))</f>
        <v/>
      </c>
      <c r="H160" s="1928"/>
      <c r="I160" s="1928"/>
      <c r="J160" s="271"/>
      <c r="K160" s="270"/>
      <c r="L160" s="270"/>
    </row>
    <row r="161" spans="1:12" ht="12.75" customHeight="1">
      <c r="A161" s="1925"/>
      <c r="B161" s="1926"/>
      <c r="D161" s="1927"/>
      <c r="E161" s="1927"/>
      <c r="F161" s="1928"/>
      <c r="G161" s="1928"/>
      <c r="H161" s="1928"/>
      <c r="I161" s="1928"/>
      <c r="J161" s="271"/>
      <c r="K161" s="270"/>
      <c r="L161" s="270"/>
    </row>
    <row r="162" spans="1:12" ht="12.75" hidden="1" customHeight="1">
      <c r="A162" s="270"/>
      <c r="B162" s="270"/>
      <c r="C162" s="270"/>
      <c r="D162" s="270"/>
      <c r="E162" s="270"/>
      <c r="F162" s="1928"/>
      <c r="G162" s="1928"/>
      <c r="H162" s="1928"/>
      <c r="I162" s="1928"/>
      <c r="J162" s="271"/>
      <c r="K162" s="270"/>
      <c r="L162" s="270"/>
    </row>
    <row r="163" spans="1:12" ht="19.899999999999999" hidden="1" customHeight="1">
      <c r="A163" s="272" t="str">
        <f>Zusatzeingaben!A238</f>
        <v>Möglicher Anspruch auf Wohngeld in Höhe von                 (ggf. sind nachfolgend weitere Daten zu erfassen!)</v>
      </c>
      <c r="B163" s="1916" t="str">
        <f>Zusatzeingaben!B238</f>
        <v>0,00 €</v>
      </c>
      <c r="C163" s="17"/>
      <c r="D163" s="1917" t="s">
        <v>131</v>
      </c>
      <c r="E163" s="1917"/>
      <c r="F163" s="273"/>
      <c r="G163" s="274"/>
      <c r="H163" s="274"/>
      <c r="I163" s="274"/>
      <c r="J163" s="274"/>
      <c r="K163" s="274"/>
      <c r="L163" s="275"/>
    </row>
    <row r="164" spans="1:12" ht="38.25" hidden="1" customHeight="1">
      <c r="A164" s="276" t="s">
        <v>132</v>
      </c>
      <c r="B164" s="1916"/>
      <c r="D164" s="1917"/>
      <c r="E164" s="1917"/>
      <c r="F164" s="1918" t="s">
        <v>133</v>
      </c>
      <c r="G164" s="1918"/>
      <c r="H164" s="1918"/>
      <c r="I164" s="277" t="b">
        <v>0</v>
      </c>
      <c r="J164" s="278"/>
      <c r="K164" s="274"/>
    </row>
    <row r="165" spans="1:12" hidden="1"/>
    <row r="166" spans="1:12" ht="23.25" hidden="1" customHeight="1">
      <c r="A166" s="1919" t="s">
        <v>134</v>
      </c>
      <c r="B166" s="1920" t="str">
        <f>Berechnung!V37</f>
        <v>0,00 €</v>
      </c>
      <c r="D166" s="1921" t="s">
        <v>131</v>
      </c>
      <c r="E166" s="1921"/>
      <c r="F166" s="1922" t="str">
        <f>IF(AND(H13&gt;42916,MAX(E21:J21)&gt;11),"UVG-Anspruch für Kinder ab  12 Jahren prüfen","") &amp;" Ergebnis kann manchmal fehlerhaft sein"</f>
        <v xml:space="preserve"> Ergebnis kann manchmal fehlerhaft sein</v>
      </c>
      <c r="G166" s="1922" t="str">
        <f>IF(AND(H13&gt;42916,MAX(E21:J21)&gt;11),"UVG-Anspruch für Kinder ab  12 Jahren prüfen","")</f>
        <v/>
      </c>
      <c r="H166" s="1922"/>
      <c r="I166" s="1922"/>
      <c r="J166" s="279"/>
      <c r="K166" s="279"/>
      <c r="L166" s="280"/>
    </row>
    <row r="167" spans="1:12" ht="29.25" hidden="1" customHeight="1">
      <c r="A167" s="1919"/>
      <c r="B167" s="1920"/>
      <c r="D167" s="1921"/>
      <c r="E167" s="1921"/>
      <c r="F167" s="1922"/>
      <c r="G167" s="1922"/>
      <c r="H167" s="1922"/>
      <c r="I167" s="1922"/>
      <c r="J167" s="279"/>
      <c r="K167" s="279"/>
      <c r="L167" s="280"/>
    </row>
    <row r="169" spans="1:12" ht="14.65" customHeight="1">
      <c r="A169" s="1912" t="s">
        <v>135</v>
      </c>
      <c r="B169" s="1913">
        <f>C153</f>
        <v>0</v>
      </c>
      <c r="D169" s="1914" t="s">
        <v>131</v>
      </c>
      <c r="E169" s="1914"/>
      <c r="F169" s="1915"/>
      <c r="G169" s="1915"/>
      <c r="H169" s="1915"/>
      <c r="I169" s="1915"/>
      <c r="J169" s="1915"/>
    </row>
    <row r="170" spans="1:12" ht="18.600000000000001" customHeight="1">
      <c r="A170" s="1912"/>
      <c r="B170" s="1913"/>
      <c r="D170" s="1914"/>
      <c r="E170" s="1914"/>
      <c r="F170" s="1915"/>
      <c r="G170" s="1915"/>
      <c r="H170" s="1915"/>
      <c r="I170" s="1915"/>
      <c r="J170" s="1915"/>
    </row>
    <row r="176" spans="1:12">
      <c r="A176" s="281" t="s">
        <v>136</v>
      </c>
    </row>
    <row r="177" spans="4:8">
      <c r="H177" s="282"/>
    </row>
    <row r="181" spans="4:8">
      <c r="D181" s="283"/>
    </row>
  </sheetData>
  <sheetProtection sheet="1" objects="1" scenarios="1"/>
  <mergeCells count="49">
    <mergeCell ref="A1:J1"/>
    <mergeCell ref="A2:J2"/>
    <mergeCell ref="A3:G4"/>
    <mergeCell ref="H3:J4"/>
    <mergeCell ref="H6:L6"/>
    <mergeCell ref="H7:L7"/>
    <mergeCell ref="H8:L8"/>
    <mergeCell ref="H9:L9"/>
    <mergeCell ref="A10:C13"/>
    <mergeCell ref="D10:D13"/>
    <mergeCell ref="E10:G13"/>
    <mergeCell ref="H10:J10"/>
    <mergeCell ref="H11:J12"/>
    <mergeCell ref="H13:J13"/>
    <mergeCell ref="A15:E15"/>
    <mergeCell ref="F15:J15"/>
    <mergeCell ref="K15:L15"/>
    <mergeCell ref="A16:B16"/>
    <mergeCell ref="F16:G16"/>
    <mergeCell ref="H16:I16"/>
    <mergeCell ref="A17:B18"/>
    <mergeCell ref="C17:C18"/>
    <mergeCell ref="D17:D18"/>
    <mergeCell ref="A19:C19"/>
    <mergeCell ref="D19:E19"/>
    <mergeCell ref="F19:J19"/>
    <mergeCell ref="B21:C21"/>
    <mergeCell ref="B43:C43"/>
    <mergeCell ref="B45:C45"/>
    <mergeCell ref="B46:C46"/>
    <mergeCell ref="D46:E46"/>
    <mergeCell ref="B84:C84"/>
    <mergeCell ref="A157:J157"/>
    <mergeCell ref="A158:J158"/>
    <mergeCell ref="A160:A161"/>
    <mergeCell ref="B160:B161"/>
    <mergeCell ref="D160:E161"/>
    <mergeCell ref="F160:I162"/>
    <mergeCell ref="A169:A170"/>
    <mergeCell ref="B169:B170"/>
    <mergeCell ref="D169:E170"/>
    <mergeCell ref="F169:J170"/>
    <mergeCell ref="B163:B164"/>
    <mergeCell ref="D163:E164"/>
    <mergeCell ref="F164:H164"/>
    <mergeCell ref="A166:A167"/>
    <mergeCell ref="B166:B167"/>
    <mergeCell ref="D166:E167"/>
    <mergeCell ref="F166:I167"/>
  </mergeCells>
  <conditionalFormatting sqref="D43:L43 D19 A15 A19">
    <cfRule type="expression" dxfId="338" priority="2">
      <formula>NOT(ISERROR(SEARCH("Zahl",#REF!)))</formula>
    </cfRule>
  </conditionalFormatting>
  <conditionalFormatting sqref="C16 B43:C43">
    <cfRule type="expression" dxfId="337" priority="3">
      <formula>tt(ISERROR(SEARCH("►",A16)))</formula>
    </cfRule>
  </conditionalFormatting>
  <conditionalFormatting sqref="H64">
    <cfRule type="expression" dxfId="336" priority="4">
      <formula>0</formula>
    </cfRule>
  </conditionalFormatting>
  <conditionalFormatting sqref="B58:C58">
    <cfRule type="expression" dxfId="335" priority="5">
      <formula>$B$163&gt;0</formula>
    </cfRule>
  </conditionalFormatting>
  <conditionalFormatting sqref="C55">
    <cfRule type="expression" dxfId="334" priority="6">
      <formula>$C$54="Nein"</formula>
    </cfRule>
  </conditionalFormatting>
  <conditionalFormatting sqref="F163 G163">
    <cfRule type="expression" dxfId="333" priority="7">
      <formula>$F$163&lt;&gt;""</formula>
    </cfRule>
  </conditionalFormatting>
  <conditionalFormatting sqref="G163">
    <cfRule type="expression" dxfId="332" priority="8">
      <formula>G163&lt;&gt;""</formula>
    </cfRule>
  </conditionalFormatting>
  <conditionalFormatting sqref="A164">
    <cfRule type="expression" dxfId="331" priority="9">
      <formula>$I$164=1</formula>
    </cfRule>
  </conditionalFormatting>
  <conditionalFormatting sqref="B163:B164">
    <cfRule type="expression" dxfId="330" priority="10">
      <formula>$I$164=0</formula>
    </cfRule>
  </conditionalFormatting>
  <conditionalFormatting sqref="G166:K167">
    <cfRule type="expression" dxfId="329" priority="11">
      <formula>0</formula>
    </cfRule>
  </conditionalFormatting>
  <conditionalFormatting sqref="G160 F160:F161">
    <cfRule type="expression" dxfId="328" priority="12">
      <formula>$F$160&lt;&gt;""</formula>
    </cfRule>
  </conditionalFormatting>
  <conditionalFormatting sqref="G160">
    <cfRule type="expression" dxfId="327" priority="13">
      <formula>G160&lt;&gt;""</formula>
    </cfRule>
  </conditionalFormatting>
  <conditionalFormatting sqref="D21:J21">
    <cfRule type="cellIs" dxfId="326" priority="14" operator="equal">
      <formula>0</formula>
    </cfRule>
    <cfRule type="cellIs" dxfId="325" priority="15" operator="equal">
      <formula>0</formula>
    </cfRule>
    <cfRule type="cellIs" dxfId="324" priority="16" operator="equal">
      <formula>0</formula>
    </cfRule>
  </conditionalFormatting>
  <dataValidations count="34">
    <dataValidation type="whole" operator="greaterThanOrEqual" showErrorMessage="1" sqref="C9">
      <formula1>1</formula1>
      <formula2>0</formula2>
    </dataValidation>
    <dataValidation operator="equal" allowBlank="1" showErrorMessage="1" sqref="H13 C16 D26 K31:L31 D110:E111 D113:E113">
      <formula1>0</formula1>
      <formula2>0</formula2>
    </dataValidation>
    <dataValidation type="date" allowBlank="1" showInputMessage="1" showErrorMessage="1" sqref="G20:J20">
      <formula1>G20</formula1>
      <formula2>TODAY()</formula2>
    </dataValidation>
    <dataValidation type="date" operator="lessThan" allowBlank="1" showErrorMessage="1" sqref="K20:L20">
      <formula1>TODAY()</formula1>
      <formula2>0</formula2>
    </dataValidation>
    <dataValidation type="list" operator="equal" allowBlank="1" showInputMessage="1" showErrorMessage="1" sqref="D25:E25">
      <formula1>"Nein,Ja"</formula1>
      <formula2>0</formula2>
    </dataValidation>
    <dataValidation type="list" operator="equal" allowBlank="1" showErrorMessage="1" sqref="B26">
      <formula1>"Ja,Nein"</formula1>
      <formula2>0</formula2>
    </dataValidation>
    <dataValidation operator="equal" allowBlank="1" showErrorMessage="1" error="Datum muss in der Zukunft liegen" sqref="D33:J33">
      <formula1>0</formula1>
      <formula2>0</formula2>
    </dataValidation>
    <dataValidation type="date" operator="greaterThan" allowBlank="1" showErrorMessage="1" error="Datum muss in der Zukunft liegen" sqref="K33:L33">
      <formula1>$N$3</formula1>
      <formula2>0</formula2>
    </dataValidation>
    <dataValidation type="list" operator="equal" allowBlank="1" showErrorMessage="1" sqref="D35:J35">
      <formula1>"Ja"</formula1>
      <formula2>0</formula2>
    </dataValidation>
    <dataValidation type="list" operator="equal" allowBlank="1" showErrorMessage="1" sqref="D37:J37">
      <formula1>"Ja"</formula1>
      <formula2>0</formula2>
    </dataValidation>
    <dataValidation type="list" operator="equal" allowBlank="1" showErrorMessage="1" sqref="K37:L37">
      <formula1>$N$5:$N$7</formula1>
      <formula2>0</formula2>
    </dataValidation>
    <dataValidation type="whole" allowBlank="1" showInputMessage="1" showErrorMessage="1" sqref="D42:J42">
      <formula1>0</formula1>
      <formula2>30</formula2>
    </dataValidation>
    <dataValidation type="list" operator="equal" allowBlank="1" showInputMessage="1" showErrorMessage="1" sqref="B45:C45">
      <formula1>Zusatzeingaben!$A$305:$A$320</formula1>
      <formula2>0</formula2>
    </dataValidation>
    <dataValidation type="list" operator="equal" allowBlank="1" showInputMessage="1" showErrorMessage="1" sqref="B46">
      <formula1>Zusatzeingaben!$A$683:$A$1047</formula1>
      <formula2>0</formula2>
    </dataValidation>
    <dataValidation type="list" operator="equal" allowBlank="1" showInputMessage="1" showErrorMessage="1" sqref="C46">
      <formula1>Zusatzeingaben!$A$683:$A$1040</formula1>
      <formula2>0</formula2>
    </dataValidation>
    <dataValidation type="list" operator="equal" allowBlank="1" showErrorMessage="1" sqref="F46">
      <formula1>"I,II,III,IV,V,VI,VII"</formula1>
      <formula2>0</formula2>
    </dataValidation>
    <dataValidation type="list" operator="equal" allowBlank="1" showInputMessage="1" showErrorMessage="1" sqref="B47:C47">
      <formula1>"Miete,Eigentum"</formula1>
      <formula2>0</formula2>
    </dataValidation>
    <dataValidation type="list" operator="equal" allowBlank="1" showErrorMessage="1" sqref="C54">
      <formula1>"Ja,Nein"</formula1>
      <formula2>0</formula2>
    </dataValidation>
    <dataValidation type="decimal" operator="greaterThanOrEqual" allowBlank="1" showErrorMessage="1" sqref="C55">
      <formula1>0</formula1>
      <formula2>0</formula2>
    </dataValidation>
    <dataValidation type="list" operator="equal" allowBlank="1" showInputMessage="1" showErrorMessage="1" sqref="C57">
      <formula1>"Garage,PKW-Stellplatz"</formula1>
      <formula2>0</formula2>
    </dataValidation>
    <dataValidation type="list" operator="equal" allowBlank="1" showInputMessage="1" showErrorMessage="1" sqref="D71:J71">
      <formula1>"Ja,Nein"</formula1>
      <formula2>0</formula2>
    </dataValidation>
    <dataValidation type="whole" allowBlank="1" showErrorMessage="1" sqref="D76:J76">
      <formula1>0</formula1>
      <formula2>30</formula2>
    </dataValidation>
    <dataValidation type="list" operator="equal" allowBlank="1" showErrorMessage="1" sqref="K76:L76">
      <formula1>"1.0,2.0,3.0,4.0,5.0,6.0,7.0,8.0,9.0,10.0,11.0,12.0,13.0,14.0,15.0,16.0,17.0,18.0,19.0,20.0,21.0,22.0,23.0,24.0,25.0,26.0,27.0,28.0,29.0,30.0"</formula1>
      <formula2>0</formula2>
    </dataValidation>
    <dataValidation type="list" operator="equal" allowBlank="1" showErrorMessage="1" sqref="D84:G84">
      <formula1>"Nein"</formula1>
      <formula2>0</formula2>
    </dataValidation>
    <dataValidation type="list" operator="equal" allowBlank="1" showErrorMessage="1" sqref="D85:G85">
      <formula1>"Ja,Nein"</formula1>
      <formula2>0</formula2>
    </dataValidation>
    <dataValidation type="list" operator="equal" allowBlank="1" showInputMessage="1" showErrorMessage="1" sqref="D91:J91">
      <formula1>"Vollverpflegung,Frühstück,Mittagessen,Abendessen"</formula1>
      <formula2>0</formula2>
    </dataValidation>
    <dataValidation type="list" operator="equal" allowBlank="1" showInputMessage="1" showErrorMessage="1" sqref="D92:J92">
      <formula1>"23,22,21,20,19,18,17,16,15"</formula1>
      <formula2>0</formula2>
    </dataValidation>
    <dataValidation type="list" operator="equal" showDropDown="1" showErrorMessage="1" error="Kind muss älter als 17 sein" sqref="G98:J98">
      <formula1>F21&gt;17</formula1>
      <formula2>0</formula2>
    </dataValidation>
    <dataValidation operator="equal" allowBlank="1" showInputMessage="1" showErrorMessage="1" errorTitle="Altersrente nicht möglich" error="Keine Altersrente möglich, Antragsteller ist zu jung" sqref="D105:J105">
      <formula1>0</formula1>
      <formula2>0</formula2>
    </dataValidation>
    <dataValidation type="list" operator="equal" allowBlank="1" showInputMessage="1" showErrorMessage="1" sqref="A106">
      <formula1>"Leistungen der Renten- und Krankenvers. (siehe Liste),Krankengeld,Verletztengeld,Mutterschaftsgeld,Übergangsgeld,Hinterbliebenenrente,Erwerbsminderungsrente"</formula1>
      <formula2>0</formula2>
    </dataValidation>
    <dataValidation operator="equal" allowBlank="1" showInputMessage="1" showErrorMessage="1" errorTitle="Altersrente nicht möglich" error="Keine Altersrente möglich, Antragsteller ist zu jung" promptTitle="Art der Leistung" prompt="aus der Liste ausgewählt?" sqref="D106:J106">
      <formula1>0</formula1>
      <formula2>0</formula2>
    </dataValidation>
    <dataValidation type="list" operator="equal" allowBlank="1" showErrorMessage="1" sqref="D112">
      <formula1>"Ja,Nein"</formula1>
      <formula2>0</formula2>
    </dataValidation>
    <dataValidation type="list" operator="equal" allowBlank="1" showErrorMessage="1" sqref="E112">
      <formula1>"Ja,Nein"</formula1>
      <formula2>0</formula2>
    </dataValidation>
    <dataValidation type="list" operator="equal" allowBlank="1" showInputMessage="1" showErrorMessage="1" sqref="D31:J31">
      <formula1>"5%,10%,20%,30%"</formula1>
    </dataValidation>
  </dataValidations>
  <hyperlinks>
    <hyperlink ref="D160" location="Berechnung!A2" display="Berechnung anzeigen"/>
    <hyperlink ref="D163" location="Wohngeld" display="Berechnung anzeigen"/>
    <hyperlink ref="A164" location="Wohngeldabzug" display="Weitere Eingaben erforderlich"/>
    <hyperlink ref="D166" location="Kinderzuschlag" display="Berechnung anzeigen"/>
    <hyperlink ref="D169" location="KVZuschlag" display="Berechnung anzeigen"/>
    <hyperlink ref="B31" location="Ernährung" display="Siehe Liste"/>
  </hyperlinks>
  <pageMargins left="0.196527777777778" right="0.196527777777778" top="0.39374999999999999" bottom="0.39374999999999999" header="0.51180555555555496" footer="0.51180555555555496"/>
  <pageSetup paperSize="9" firstPageNumber="0" orientation="landscape" horizontalDpi="300" verticalDpi="300"/>
  <rowBreaks count="2" manualBreakCount="2">
    <brk id="90" max="16383" man="1"/>
    <brk id="145" max="16383" man="1"/>
  </rowBreaks>
  <legacyDrawing r:id="rId1"/>
</worksheet>
</file>

<file path=xl/worksheets/sheet20.xml><?xml version="1.0" encoding="utf-8"?>
<worksheet xmlns="http://schemas.openxmlformats.org/spreadsheetml/2006/main" xmlns:r="http://schemas.openxmlformats.org/officeDocument/2006/relationships">
  <dimension ref="A1:AV361"/>
  <sheetViews>
    <sheetView topLeftCell="A59" zoomScaleNormal="100" workbookViewId="0">
      <selection activeCell="I92" sqref="I92"/>
    </sheetView>
  </sheetViews>
  <sheetFormatPr baseColWidth="10" defaultColWidth="11.5703125" defaultRowHeight="12.75"/>
  <sheetData>
    <row r="1" spans="1:48" ht="13.5">
      <c r="A1" t="s">
        <v>2428</v>
      </c>
      <c r="C1">
        <v>1</v>
      </c>
      <c r="M1" s="791"/>
      <c r="N1" s="2006"/>
      <c r="O1" s="2006"/>
      <c r="P1" s="792"/>
      <c r="Q1" s="2006"/>
      <c r="R1" s="2006"/>
      <c r="S1" s="792"/>
      <c r="T1" s="2006"/>
      <c r="U1" s="2006"/>
      <c r="V1" s="792"/>
      <c r="W1" s="2006"/>
      <c r="X1" s="2006"/>
      <c r="Y1" s="792"/>
      <c r="Z1" s="2006"/>
      <c r="AA1" s="2006"/>
      <c r="AB1" s="792"/>
      <c r="AC1" s="2006"/>
      <c r="AD1" s="2006"/>
      <c r="AE1" s="792"/>
      <c r="AF1" s="2006"/>
      <c r="AG1" s="2006"/>
      <c r="AH1" s="792"/>
      <c r="AI1" s="2006"/>
      <c r="AJ1" s="2006"/>
      <c r="AK1" s="792"/>
      <c r="AL1" s="2006"/>
      <c r="AM1" s="2006"/>
      <c r="AN1" s="792"/>
      <c r="AO1" s="2006"/>
      <c r="AP1" s="2006"/>
      <c r="AQ1" s="792"/>
      <c r="AR1" s="2006"/>
      <c r="AS1" s="2006"/>
      <c r="AT1" s="792"/>
      <c r="AU1" s="2006"/>
      <c r="AV1" s="2006"/>
    </row>
    <row r="2" spans="1:48" ht="13.5">
      <c r="A2" t="s">
        <v>2429</v>
      </c>
      <c r="C2">
        <v>1</v>
      </c>
      <c r="M2" s="793"/>
      <c r="N2" s="1891"/>
      <c r="O2" s="1891"/>
      <c r="P2" s="794"/>
      <c r="Q2" s="1891"/>
      <c r="R2" s="1891"/>
      <c r="S2" s="794"/>
      <c r="T2" s="1891"/>
      <c r="U2" s="1891"/>
      <c r="V2" s="794"/>
      <c r="W2" s="1891"/>
      <c r="X2" s="1891"/>
      <c r="Y2" s="794"/>
      <c r="Z2" s="1891"/>
      <c r="AA2" s="1891"/>
      <c r="AB2" s="794"/>
      <c r="AC2" s="1891"/>
      <c r="AD2" s="1891"/>
      <c r="AE2" s="794"/>
      <c r="AF2" s="1891"/>
      <c r="AG2" s="1891"/>
      <c r="AH2" s="794"/>
      <c r="AI2" s="1891"/>
      <c r="AJ2" s="1891"/>
      <c r="AK2" s="794"/>
      <c r="AL2" s="1891"/>
      <c r="AM2" s="1891"/>
      <c r="AN2" s="794"/>
      <c r="AO2" s="1891"/>
      <c r="AP2" s="1891"/>
      <c r="AQ2" s="794"/>
      <c r="AR2" s="1891"/>
      <c r="AS2" s="1891"/>
      <c r="AT2" s="794"/>
      <c r="AU2" s="1891"/>
      <c r="AV2" s="1891"/>
    </row>
    <row r="3" spans="1:48" ht="13.5">
      <c r="A3" t="s">
        <v>2430</v>
      </c>
      <c r="C3">
        <v>1</v>
      </c>
      <c r="M3" s="795"/>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c r="AM3" s="796"/>
      <c r="AN3" s="796"/>
      <c r="AO3" s="796"/>
      <c r="AP3" s="796"/>
      <c r="AQ3" s="796"/>
      <c r="AR3" s="796"/>
      <c r="AS3" s="796"/>
      <c r="AT3" s="796"/>
      <c r="AU3" s="796"/>
    </row>
    <row r="4" spans="1:48" ht="13.5">
      <c r="A4" t="s">
        <v>2431</v>
      </c>
      <c r="C4">
        <v>1</v>
      </c>
      <c r="M4" s="795"/>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6"/>
      <c r="AO4" s="796"/>
      <c r="AP4" s="796"/>
      <c r="AQ4" s="796"/>
      <c r="AR4" s="796"/>
      <c r="AS4" s="796"/>
      <c r="AT4" s="796"/>
      <c r="AU4" s="796"/>
    </row>
    <row r="5" spans="1:48" ht="13.5">
      <c r="M5" s="795"/>
      <c r="N5" s="796"/>
      <c r="O5" s="796"/>
      <c r="P5" s="796"/>
      <c r="Q5" s="796"/>
      <c r="R5" s="796"/>
      <c r="S5" s="796"/>
      <c r="T5" s="796"/>
      <c r="U5" s="796"/>
      <c r="V5" s="796"/>
      <c r="W5" s="796"/>
      <c r="X5" s="796"/>
      <c r="Y5" s="796"/>
      <c r="Z5" s="796"/>
      <c r="AA5" s="796"/>
      <c r="AB5" s="796"/>
      <c r="AC5" s="796"/>
      <c r="AD5" s="796"/>
      <c r="AE5" s="796"/>
      <c r="AF5" s="796"/>
      <c r="AG5" s="796"/>
      <c r="AH5" s="796"/>
      <c r="AI5" s="796"/>
      <c r="AJ5" s="796"/>
      <c r="AK5" s="796"/>
      <c r="AL5" s="796"/>
      <c r="AM5" s="796"/>
      <c r="AN5" s="796"/>
      <c r="AO5" s="796"/>
      <c r="AP5" s="796"/>
      <c r="AQ5" s="796"/>
      <c r="AR5" s="796"/>
      <c r="AS5" s="796"/>
      <c r="AT5" s="796"/>
      <c r="AU5" s="796"/>
    </row>
    <row r="6" spans="1:48" ht="13.5">
      <c r="C6">
        <v>2020</v>
      </c>
      <c r="E6">
        <v>2020</v>
      </c>
      <c r="G6">
        <v>2020</v>
      </c>
      <c r="J6">
        <v>2020</v>
      </c>
      <c r="L6">
        <v>2020</v>
      </c>
      <c r="M6" s="795"/>
      <c r="N6" s="796"/>
      <c r="O6" s="796"/>
      <c r="P6" s="796"/>
      <c r="Q6" s="796"/>
      <c r="R6" s="796"/>
      <c r="S6" s="796"/>
      <c r="T6" s="796"/>
      <c r="U6" s="796"/>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row>
    <row r="7" spans="1:48" ht="16.5">
      <c r="A7" s="1279"/>
      <c r="B7" s="1280" t="s">
        <v>2203</v>
      </c>
      <c r="C7" s="1280"/>
      <c r="D7" s="1281" t="s">
        <v>2204</v>
      </c>
      <c r="E7" s="1281"/>
      <c r="F7" s="1282" t="s">
        <v>2205</v>
      </c>
      <c r="G7" s="1281"/>
      <c r="H7" s="1283"/>
      <c r="I7" s="1281" t="s">
        <v>2206</v>
      </c>
      <c r="J7" s="1281"/>
      <c r="K7" s="1281"/>
      <c r="L7" s="1282"/>
      <c r="M7" s="795"/>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row>
    <row r="8" spans="1:48" ht="16.5">
      <c r="A8" s="1284"/>
      <c r="B8" s="1265"/>
      <c r="C8" s="1265"/>
      <c r="D8" s="1285"/>
      <c r="E8" s="1285"/>
      <c r="F8" s="1286"/>
      <c r="G8" s="1285"/>
      <c r="H8" s="1287"/>
      <c r="I8" s="1285" t="s">
        <v>2207</v>
      </c>
      <c r="J8" s="1285">
        <v>2020</v>
      </c>
      <c r="K8" s="1285" t="s">
        <v>2208</v>
      </c>
      <c r="L8" s="1286">
        <v>2020</v>
      </c>
      <c r="M8" s="795"/>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row>
    <row r="9" spans="1:48" ht="16.5">
      <c r="A9" s="1288">
        <v>1</v>
      </c>
      <c r="B9" s="1289">
        <v>0.04</v>
      </c>
      <c r="C9" s="1289">
        <f t="shared" ref="C9:C15" si="0">$C$2*C54</f>
        <v>0.04</v>
      </c>
      <c r="D9" s="1290">
        <v>6.3000000000000003E-4</v>
      </c>
      <c r="E9" s="1289">
        <f t="shared" ref="E9:E15" si="1">$C$3*E54</f>
        <v>5.8E-4</v>
      </c>
      <c r="F9" s="1291">
        <v>1.3799999999999999E-4</v>
      </c>
      <c r="G9" s="1289">
        <f t="shared" ref="G9:G15" si="2">$C$4*G54</f>
        <v>1.18E-4</v>
      </c>
      <c r="H9" s="1288">
        <v>1</v>
      </c>
      <c r="I9" s="834">
        <v>48</v>
      </c>
      <c r="J9" s="834">
        <v>52</v>
      </c>
      <c r="K9" s="834">
        <v>239</v>
      </c>
      <c r="L9" s="1892">
        <v>275</v>
      </c>
      <c r="M9" s="795"/>
      <c r="N9" s="796"/>
      <c r="O9" s="796"/>
      <c r="P9" s="796"/>
      <c r="Q9" s="796"/>
      <c r="R9" s="796"/>
      <c r="S9" s="796"/>
      <c r="T9" s="796"/>
      <c r="U9" s="796"/>
      <c r="V9" s="796"/>
      <c r="W9" s="796"/>
      <c r="X9" s="796"/>
      <c r="Y9" s="796"/>
      <c r="Z9" s="796"/>
      <c r="AA9" s="796"/>
      <c r="AB9" s="796"/>
      <c r="AC9" s="796"/>
      <c r="AD9" s="796"/>
      <c r="AE9" s="796"/>
      <c r="AF9" s="796"/>
      <c r="AG9" s="796"/>
      <c r="AH9" s="796"/>
      <c r="AI9" s="796"/>
      <c r="AJ9" s="796"/>
      <c r="AK9" s="796"/>
      <c r="AL9" s="796"/>
      <c r="AM9" s="796"/>
      <c r="AN9" s="796"/>
      <c r="AO9" s="796"/>
      <c r="AP9" s="796"/>
      <c r="AQ9" s="796"/>
      <c r="AR9" s="796"/>
      <c r="AS9" s="796"/>
      <c r="AT9" s="796"/>
      <c r="AU9" s="796"/>
    </row>
    <row r="10" spans="1:48" ht="16.5">
      <c r="A10" s="1288">
        <v>2</v>
      </c>
      <c r="B10" s="1289">
        <v>0.03</v>
      </c>
      <c r="C10" s="1289">
        <f t="shared" si="0"/>
        <v>0.03</v>
      </c>
      <c r="D10" s="1290">
        <v>4.4000000000000002E-4</v>
      </c>
      <c r="E10" s="1289">
        <f t="shared" si="1"/>
        <v>4.0499999999999998E-4</v>
      </c>
      <c r="F10" s="1291">
        <v>1.03E-4</v>
      </c>
      <c r="G10" s="1289">
        <f t="shared" si="2"/>
        <v>8.7999999999999998E-5</v>
      </c>
      <c r="H10" s="1288">
        <v>2</v>
      </c>
      <c r="I10" s="834">
        <v>59</v>
      </c>
      <c r="J10" s="834">
        <v>64</v>
      </c>
      <c r="K10" s="834">
        <v>310</v>
      </c>
      <c r="L10" s="1892">
        <v>357</v>
      </c>
      <c r="M10" s="795"/>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row>
    <row r="11" spans="1:48" ht="16.5">
      <c r="A11" s="1288">
        <v>3</v>
      </c>
      <c r="B11" s="1289">
        <v>0.02</v>
      </c>
      <c r="C11" s="1289">
        <f t="shared" si="0"/>
        <v>0.02</v>
      </c>
      <c r="D11" s="1290">
        <v>3.8000000000000002E-4</v>
      </c>
      <c r="E11" s="1289">
        <f t="shared" si="1"/>
        <v>3.5E-4</v>
      </c>
      <c r="F11" s="1291">
        <v>8.2999999999999998E-5</v>
      </c>
      <c r="G11" s="1289">
        <f t="shared" si="2"/>
        <v>7.0900000000000002E-5</v>
      </c>
      <c r="H11" s="1288">
        <v>3</v>
      </c>
      <c r="I11" s="834">
        <v>70</v>
      </c>
      <c r="J11" s="834">
        <v>76</v>
      </c>
      <c r="K11" s="834">
        <v>360</v>
      </c>
      <c r="L11" s="1892">
        <v>414</v>
      </c>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6"/>
      <c r="AL11" s="796"/>
      <c r="AM11" s="796"/>
      <c r="AN11" s="796"/>
      <c r="AO11" s="796"/>
      <c r="AP11" s="796"/>
      <c r="AQ11" s="796"/>
      <c r="AR11" s="796"/>
      <c r="AS11" s="796"/>
      <c r="AT11" s="796"/>
      <c r="AU11" s="796"/>
    </row>
    <row r="12" spans="1:48" ht="16.5">
      <c r="A12" s="1288">
        <v>4</v>
      </c>
      <c r="B12" s="1289">
        <v>0.01</v>
      </c>
      <c r="C12" s="1289">
        <f t="shared" si="0"/>
        <v>0.01</v>
      </c>
      <c r="D12" s="1290">
        <v>3.4000000000000002E-4</v>
      </c>
      <c r="E12" s="1289">
        <f t="shared" si="1"/>
        <v>3.1300000000000002E-4</v>
      </c>
      <c r="F12" s="1291">
        <v>4.3000000000000002E-5</v>
      </c>
      <c r="G12" s="1289">
        <f t="shared" si="2"/>
        <v>3.68E-5</v>
      </c>
      <c r="H12" s="1288">
        <v>4</v>
      </c>
      <c r="I12" s="834">
        <v>81</v>
      </c>
      <c r="J12" s="834">
        <v>88</v>
      </c>
      <c r="K12" s="834">
        <v>389</v>
      </c>
      <c r="L12" s="1892">
        <v>447</v>
      </c>
      <c r="M12" s="796"/>
      <c r="N12" s="796"/>
      <c r="O12" s="796"/>
      <c r="P12" s="796"/>
      <c r="Q12" s="796"/>
      <c r="R12" s="796"/>
      <c r="S12" s="796"/>
      <c r="T12" s="796"/>
      <c r="U12" s="796"/>
      <c r="V12" s="796"/>
      <c r="W12" s="796"/>
      <c r="X12" s="796"/>
      <c r="Y12" s="796"/>
      <c r="Z12" s="796"/>
      <c r="AA12" s="796"/>
      <c r="AB12" s="796"/>
      <c r="AC12" s="796"/>
      <c r="AD12" s="796"/>
      <c r="AE12" s="796"/>
      <c r="AF12" s="796"/>
      <c r="AG12" s="796"/>
      <c r="AH12" s="796"/>
      <c r="AI12" s="796"/>
      <c r="AJ12" s="796"/>
      <c r="AK12" s="796"/>
      <c r="AL12" s="796"/>
      <c r="AM12" s="796"/>
      <c r="AN12" s="796"/>
      <c r="AO12" s="796"/>
      <c r="AP12" s="796"/>
      <c r="AQ12" s="796"/>
      <c r="AR12" s="796"/>
      <c r="AS12" s="796"/>
      <c r="AT12" s="796"/>
      <c r="AU12" s="796"/>
    </row>
    <row r="13" spans="1:48" ht="16.5">
      <c r="A13" s="1288">
        <v>5</v>
      </c>
      <c r="B13" s="1289">
        <v>0</v>
      </c>
      <c r="C13" s="1289">
        <f t="shared" si="0"/>
        <v>0</v>
      </c>
      <c r="D13" s="1290">
        <v>2.9999999999999997E-4</v>
      </c>
      <c r="E13" s="1289">
        <f t="shared" si="1"/>
        <v>2.7599999999999999E-4</v>
      </c>
      <c r="F13" s="1291">
        <v>4.1999999999999998E-5</v>
      </c>
      <c r="G13" s="1289">
        <f t="shared" si="2"/>
        <v>3.5899999999999998E-5</v>
      </c>
      <c r="H13" s="1288">
        <v>5</v>
      </c>
      <c r="I13" s="834">
        <v>91</v>
      </c>
      <c r="J13" s="834">
        <v>99</v>
      </c>
      <c r="K13" s="834">
        <v>463</v>
      </c>
      <c r="L13" s="1892">
        <v>532</v>
      </c>
      <c r="M13" s="796"/>
      <c r="N13" s="796"/>
      <c r="O13" s="796"/>
      <c r="P13" s="796"/>
      <c r="Q13" s="796"/>
      <c r="R13" s="796"/>
      <c r="S13" s="796"/>
      <c r="T13" s="796"/>
      <c r="U13" s="796"/>
      <c r="V13" s="796"/>
      <c r="W13" s="796"/>
      <c r="X13" s="796"/>
      <c r="Y13" s="796"/>
      <c r="Z13" s="796"/>
      <c r="AA13" s="796"/>
      <c r="AB13" s="796"/>
      <c r="AC13" s="796"/>
      <c r="AD13" s="796"/>
      <c r="AE13" s="796"/>
      <c r="AF13" s="796"/>
      <c r="AG13" s="796"/>
      <c r="AH13" s="796"/>
      <c r="AI13" s="796"/>
      <c r="AJ13" s="796"/>
      <c r="AK13" s="796"/>
      <c r="AL13" s="796"/>
      <c r="AM13" s="796"/>
      <c r="AN13" s="796"/>
      <c r="AO13" s="796"/>
      <c r="AP13" s="796"/>
      <c r="AQ13" s="796"/>
      <c r="AR13" s="796"/>
      <c r="AS13" s="796"/>
      <c r="AT13" s="796"/>
      <c r="AU13" s="796"/>
    </row>
    <row r="14" spans="1:48" ht="16.5">
      <c r="A14" s="1288">
        <v>6</v>
      </c>
      <c r="B14" s="1289">
        <v>-0.01</v>
      </c>
      <c r="C14" s="1289">
        <f t="shared" si="0"/>
        <v>-0.01</v>
      </c>
      <c r="D14" s="1290">
        <v>2.7999999999999998E-4</v>
      </c>
      <c r="E14" s="1289">
        <f t="shared" si="1"/>
        <v>2.5799999999999998E-4</v>
      </c>
      <c r="F14" s="1291">
        <v>3.6000000000000001E-5</v>
      </c>
      <c r="G14" s="1289">
        <f t="shared" si="2"/>
        <v>3.0800000000000003E-5</v>
      </c>
      <c r="H14" s="1288">
        <v>6</v>
      </c>
      <c r="I14" s="834">
        <v>91</v>
      </c>
      <c r="J14" s="834">
        <v>99</v>
      </c>
      <c r="K14" s="834">
        <v>537</v>
      </c>
      <c r="L14" s="1892">
        <v>618</v>
      </c>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row>
    <row r="15" spans="1:48" ht="16.5">
      <c r="A15" s="1293">
        <v>7</v>
      </c>
      <c r="B15" s="1294">
        <v>-0.02</v>
      </c>
      <c r="C15" s="1294">
        <f t="shared" si="0"/>
        <v>-0.02</v>
      </c>
      <c r="D15" s="1295">
        <v>2.5999999999999998E-4</v>
      </c>
      <c r="E15" s="1294">
        <f t="shared" si="1"/>
        <v>2.3900000000000001E-4</v>
      </c>
      <c r="F15" s="1296">
        <v>3.6999999999999998E-5</v>
      </c>
      <c r="G15" s="1294">
        <f t="shared" si="2"/>
        <v>3.1600000000000002E-5</v>
      </c>
      <c r="H15" s="1293">
        <v>7</v>
      </c>
      <c r="I15" s="1297">
        <v>102</v>
      </c>
      <c r="J15" s="1297">
        <v>111</v>
      </c>
      <c r="K15" s="1297">
        <v>610</v>
      </c>
      <c r="L15" s="1893">
        <v>702</v>
      </c>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row>
    <row r="16" spans="1:48" ht="13.5">
      <c r="M16" s="796"/>
      <c r="N16" s="796"/>
      <c r="O16" s="796"/>
      <c r="P16" s="796"/>
      <c r="Q16" s="796"/>
      <c r="R16" s="796"/>
      <c r="S16" s="796"/>
      <c r="T16" s="796"/>
      <c r="U16" s="796"/>
      <c r="V16" s="796"/>
      <c r="W16" s="796"/>
      <c r="X16" s="796"/>
      <c r="Y16" s="796"/>
      <c r="Z16" s="796"/>
      <c r="AA16" s="796"/>
      <c r="AB16" s="796"/>
      <c r="AC16" s="796"/>
      <c r="AD16" s="796"/>
      <c r="AE16" s="796"/>
      <c r="AF16" s="796"/>
      <c r="AG16" s="796"/>
      <c r="AH16" s="796"/>
      <c r="AI16" s="796"/>
      <c r="AJ16" s="796"/>
      <c r="AK16" s="796"/>
      <c r="AL16" s="796"/>
      <c r="AM16" s="796"/>
      <c r="AN16" s="796"/>
      <c r="AO16" s="796"/>
      <c r="AP16" s="796"/>
      <c r="AQ16" s="796"/>
      <c r="AR16" s="796"/>
      <c r="AS16" s="796"/>
      <c r="AT16" s="796"/>
      <c r="AU16" s="796"/>
    </row>
    <row r="17" spans="1:47" ht="13.5">
      <c r="M17" s="796"/>
      <c r="N17" s="796"/>
      <c r="O17" s="796"/>
      <c r="P17" s="796"/>
      <c r="Q17" s="796"/>
      <c r="R17" s="796"/>
      <c r="S17" s="796"/>
      <c r="T17" s="796"/>
      <c r="U17" s="796"/>
      <c r="V17" s="796"/>
      <c r="W17" s="796"/>
      <c r="X17" s="796"/>
      <c r="Y17" s="796"/>
      <c r="Z17" s="796"/>
      <c r="AA17" s="796"/>
      <c r="AB17" s="796"/>
      <c r="AC17" s="796"/>
      <c r="AD17" s="796"/>
      <c r="AE17" s="796"/>
      <c r="AF17" s="796"/>
      <c r="AG17" s="796"/>
      <c r="AH17" s="796"/>
      <c r="AI17" s="796"/>
      <c r="AJ17" s="796"/>
      <c r="AK17" s="796"/>
      <c r="AL17" s="796"/>
      <c r="AM17" s="796"/>
      <c r="AN17" s="796"/>
      <c r="AO17" s="796"/>
      <c r="AP17" s="796"/>
      <c r="AQ17" s="796"/>
      <c r="AR17" s="796"/>
      <c r="AS17" s="796"/>
      <c r="AT17" s="796"/>
      <c r="AU17" s="796"/>
    </row>
    <row r="18" spans="1:47" ht="16.5">
      <c r="A18" s="801" t="s">
        <v>18</v>
      </c>
      <c r="B18" s="801" t="s">
        <v>2215</v>
      </c>
      <c r="C18" s="801"/>
      <c r="D18" s="801" t="s">
        <v>18</v>
      </c>
      <c r="E18" s="801" t="s">
        <v>2216</v>
      </c>
      <c r="G18" s="801" t="s">
        <v>18</v>
      </c>
      <c r="H18" s="801" t="s">
        <v>2217</v>
      </c>
      <c r="J18" s="801"/>
      <c r="K18" s="801"/>
      <c r="L18" s="801"/>
      <c r="M18" s="796"/>
      <c r="N18" s="796"/>
      <c r="O18" s="796"/>
      <c r="P18" s="796"/>
      <c r="Q18" s="796"/>
      <c r="R18" s="796"/>
      <c r="S18" s="796"/>
      <c r="T18" s="796"/>
      <c r="U18" s="796"/>
      <c r="V18" s="796"/>
      <c r="W18" s="796"/>
      <c r="X18" s="796"/>
      <c r="Y18" s="796"/>
      <c r="Z18" s="796"/>
      <c r="AA18" s="796"/>
      <c r="AB18" s="796"/>
      <c r="AC18" s="796"/>
      <c r="AD18" s="796"/>
      <c r="AE18" s="796"/>
      <c r="AF18" s="796"/>
      <c r="AG18" s="796"/>
      <c r="AH18" s="796"/>
      <c r="AI18" s="796"/>
      <c r="AJ18" s="796"/>
      <c r="AK18" s="796"/>
      <c r="AL18" s="796"/>
      <c r="AM18" s="796"/>
      <c r="AN18" s="796"/>
      <c r="AO18" s="796"/>
      <c r="AP18" s="796"/>
      <c r="AQ18" s="796"/>
      <c r="AR18" s="796"/>
      <c r="AS18" s="796"/>
      <c r="AT18" s="796"/>
      <c r="AU18" s="796"/>
    </row>
    <row r="19" spans="1:47" ht="16.5">
      <c r="A19" s="801">
        <v>1</v>
      </c>
      <c r="B19" s="1014">
        <v>312</v>
      </c>
      <c r="C19" s="1014">
        <f t="shared" ref="C19:C25" si="3">$C$1*C64</f>
        <v>338</v>
      </c>
      <c r="D19" s="801">
        <v>1</v>
      </c>
      <c r="E19" s="1014">
        <v>351</v>
      </c>
      <c r="F19" s="1014">
        <f t="shared" ref="F19:F25" si="4">$C$1*F64</f>
        <v>381</v>
      </c>
      <c r="G19" s="801">
        <v>1</v>
      </c>
      <c r="H19" s="1014">
        <v>390</v>
      </c>
      <c r="I19" s="1014">
        <f t="shared" ref="I19:I25" si="5">$C$1*I64</f>
        <v>426</v>
      </c>
      <c r="J19" s="801"/>
      <c r="K19" s="801"/>
      <c r="L19" s="801"/>
      <c r="M19" s="796"/>
      <c r="N19" s="796"/>
      <c r="O19" s="796"/>
      <c r="P19" s="796"/>
      <c r="Q19" s="796"/>
      <c r="R19" s="796"/>
      <c r="S19" s="796"/>
      <c r="T19" s="796"/>
      <c r="U19" s="796"/>
      <c r="V19" s="796"/>
      <c r="W19" s="796"/>
      <c r="X19" s="796"/>
      <c r="Y19" s="796"/>
      <c r="Z19" s="796"/>
      <c r="AA19" s="796"/>
      <c r="AB19" s="796"/>
      <c r="AC19" s="796"/>
      <c r="AD19" s="796"/>
      <c r="AE19" s="796"/>
      <c r="AF19" s="796"/>
      <c r="AG19" s="796"/>
      <c r="AH19" s="796"/>
      <c r="AI19" s="796"/>
      <c r="AJ19" s="796"/>
      <c r="AK19" s="796"/>
      <c r="AL19" s="796"/>
      <c r="AM19" s="796"/>
      <c r="AN19" s="796"/>
      <c r="AO19" s="796"/>
      <c r="AP19" s="796"/>
      <c r="AQ19" s="796"/>
      <c r="AR19" s="796"/>
      <c r="AS19" s="796"/>
      <c r="AT19" s="796"/>
      <c r="AU19" s="796"/>
    </row>
    <row r="20" spans="1:47" ht="16.5">
      <c r="A20" s="801">
        <v>2</v>
      </c>
      <c r="B20" s="1014">
        <v>378</v>
      </c>
      <c r="C20" s="1014">
        <f t="shared" si="3"/>
        <v>409</v>
      </c>
      <c r="D20" s="801">
        <v>2</v>
      </c>
      <c r="E20" s="1014">
        <v>425</v>
      </c>
      <c r="F20" s="1014">
        <f t="shared" si="4"/>
        <v>461</v>
      </c>
      <c r="G20" s="801">
        <v>2</v>
      </c>
      <c r="H20" s="1014">
        <v>473</v>
      </c>
      <c r="I20" s="1014">
        <f t="shared" si="5"/>
        <v>516</v>
      </c>
      <c r="J20" s="801"/>
      <c r="K20" s="801"/>
      <c r="L20" s="801"/>
      <c r="M20" s="796"/>
      <c r="N20" s="796"/>
      <c r="O20" s="796"/>
      <c r="P20" s="796"/>
      <c r="Q20" s="796"/>
      <c r="R20" s="796"/>
      <c r="S20" s="796"/>
      <c r="T20" s="796"/>
      <c r="U20" s="796"/>
      <c r="V20" s="796"/>
      <c r="W20" s="796"/>
      <c r="X20" s="796"/>
      <c r="Y20" s="796"/>
      <c r="Z20" s="796"/>
      <c r="AA20" s="796"/>
      <c r="AB20" s="796"/>
      <c r="AC20" s="796"/>
      <c r="AD20" s="796"/>
      <c r="AE20" s="796"/>
      <c r="AF20" s="796"/>
      <c r="AG20" s="796"/>
      <c r="AH20" s="796"/>
      <c r="AI20" s="796"/>
      <c r="AJ20" s="796"/>
      <c r="AK20" s="796"/>
      <c r="AL20" s="796"/>
      <c r="AM20" s="796"/>
      <c r="AN20" s="796"/>
      <c r="AO20" s="796"/>
      <c r="AP20" s="796"/>
      <c r="AQ20" s="796"/>
      <c r="AR20" s="796"/>
      <c r="AS20" s="796"/>
      <c r="AT20" s="796"/>
      <c r="AU20" s="796"/>
    </row>
    <row r="21" spans="1:47" ht="16.5">
      <c r="A21" s="801">
        <v>3</v>
      </c>
      <c r="B21" s="1014">
        <v>450</v>
      </c>
      <c r="C21" s="1014">
        <f t="shared" si="3"/>
        <v>487</v>
      </c>
      <c r="D21" s="801">
        <v>3</v>
      </c>
      <c r="E21" s="1014">
        <v>506</v>
      </c>
      <c r="F21" s="1014">
        <f t="shared" si="4"/>
        <v>549</v>
      </c>
      <c r="G21" s="801">
        <v>3</v>
      </c>
      <c r="H21" s="1014">
        <v>563</v>
      </c>
      <c r="I21" s="1014">
        <f t="shared" si="5"/>
        <v>614</v>
      </c>
      <c r="J21" s="801"/>
      <c r="K21" s="801"/>
      <c r="L21" s="801"/>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row>
    <row r="22" spans="1:47" ht="16.5">
      <c r="A22" s="801">
        <v>4</v>
      </c>
      <c r="B22" s="1014">
        <v>525</v>
      </c>
      <c r="C22" s="1014">
        <f t="shared" si="3"/>
        <v>568</v>
      </c>
      <c r="D22" s="801">
        <v>4</v>
      </c>
      <c r="E22" s="1014">
        <v>591</v>
      </c>
      <c r="F22" s="1014">
        <f t="shared" si="4"/>
        <v>641</v>
      </c>
      <c r="G22" s="801">
        <v>4</v>
      </c>
      <c r="H22" s="1014">
        <v>656</v>
      </c>
      <c r="I22" s="1014">
        <f t="shared" si="5"/>
        <v>716</v>
      </c>
      <c r="J22" s="801"/>
      <c r="K22" s="801"/>
      <c r="L22" s="801"/>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row>
    <row r="23" spans="1:47" ht="16.5">
      <c r="A23" s="801">
        <v>5</v>
      </c>
      <c r="B23" s="1014">
        <v>600</v>
      </c>
      <c r="C23" s="1014">
        <f t="shared" si="3"/>
        <v>649</v>
      </c>
      <c r="D23" s="801">
        <v>5</v>
      </c>
      <c r="E23" s="1014">
        <v>675</v>
      </c>
      <c r="F23" s="1014">
        <f t="shared" si="4"/>
        <v>732</v>
      </c>
      <c r="G23" s="801">
        <v>5</v>
      </c>
      <c r="H23" s="1014">
        <v>750</v>
      </c>
      <c r="I23" s="1014">
        <f t="shared" si="5"/>
        <v>818</v>
      </c>
      <c r="J23" s="801"/>
      <c r="K23" s="801"/>
      <c r="L23" s="801"/>
      <c r="M23" s="796"/>
      <c r="N23" s="796"/>
      <c r="O23" s="796"/>
      <c r="P23" s="796"/>
      <c r="Q23" s="796"/>
      <c r="R23" s="796"/>
      <c r="S23" s="796"/>
      <c r="T23" s="796"/>
      <c r="U23" s="796"/>
      <c r="V23" s="796"/>
      <c r="W23" s="796"/>
      <c r="X23" s="796"/>
      <c r="Y23" s="796"/>
      <c r="Z23" s="796"/>
      <c r="AA23" s="796"/>
      <c r="AB23" s="796"/>
      <c r="AC23" s="796"/>
      <c r="AD23" s="796"/>
      <c r="AE23" s="796"/>
      <c r="AF23" s="796"/>
      <c r="AG23" s="796"/>
      <c r="AH23" s="796"/>
      <c r="AI23" s="796"/>
      <c r="AJ23" s="796"/>
      <c r="AK23" s="796"/>
      <c r="AL23" s="796"/>
      <c r="AM23" s="796"/>
      <c r="AN23" s="796"/>
      <c r="AO23" s="796"/>
      <c r="AP23" s="796"/>
      <c r="AQ23" s="796"/>
      <c r="AR23" s="796"/>
      <c r="AS23" s="796"/>
      <c r="AT23" s="796"/>
      <c r="AU23" s="796"/>
    </row>
    <row r="24" spans="1:47" ht="16.5">
      <c r="A24" s="801">
        <v>6</v>
      </c>
      <c r="B24" s="1014">
        <v>671</v>
      </c>
      <c r="C24" s="1014">
        <f t="shared" si="3"/>
        <v>726</v>
      </c>
      <c r="D24" s="801">
        <v>6</v>
      </c>
      <c r="E24" s="1014">
        <v>756</v>
      </c>
      <c r="F24" s="1014">
        <f t="shared" si="4"/>
        <v>820</v>
      </c>
      <c r="G24" s="801">
        <v>6</v>
      </c>
      <c r="H24" s="1014">
        <v>841</v>
      </c>
      <c r="I24" s="1014">
        <f t="shared" si="5"/>
        <v>917</v>
      </c>
      <c r="J24" s="801"/>
      <c r="K24" s="801"/>
      <c r="L24" s="801"/>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row>
    <row r="25" spans="1:47" ht="16.5">
      <c r="A25" s="801">
        <v>7</v>
      </c>
      <c r="B25" s="1014">
        <v>742</v>
      </c>
      <c r="C25" s="1014">
        <f t="shared" si="3"/>
        <v>803</v>
      </c>
      <c r="D25" s="801">
        <v>7</v>
      </c>
      <c r="E25" s="1014">
        <v>837</v>
      </c>
      <c r="F25" s="1014">
        <f t="shared" si="4"/>
        <v>908</v>
      </c>
      <c r="G25" s="801">
        <v>7</v>
      </c>
      <c r="H25" s="1014">
        <v>932</v>
      </c>
      <c r="I25" s="1014">
        <f t="shared" si="5"/>
        <v>1016</v>
      </c>
      <c r="J25" s="801"/>
      <c r="K25" s="801"/>
      <c r="L25" s="801"/>
      <c r="M25" s="796"/>
      <c r="N25" s="796"/>
      <c r="O25" s="796"/>
      <c r="P25" s="796"/>
      <c r="Q25" s="796"/>
      <c r="R25" s="796"/>
      <c r="S25" s="796"/>
      <c r="T25" s="796"/>
      <c r="U25" s="796"/>
      <c r="V25" s="796"/>
      <c r="W25" s="796"/>
      <c r="X25" s="796"/>
      <c r="Y25" s="796"/>
      <c r="Z25" s="796"/>
      <c r="AA25" s="796"/>
      <c r="AB25" s="796"/>
      <c r="AC25" s="796"/>
      <c r="AD25" s="796"/>
      <c r="AE25" s="796"/>
      <c r="AF25" s="796"/>
      <c r="AG25" s="796"/>
      <c r="AH25" s="796"/>
      <c r="AI25" s="796"/>
      <c r="AJ25" s="796"/>
      <c r="AK25" s="796"/>
      <c r="AL25" s="796"/>
      <c r="AM25" s="796"/>
      <c r="AN25" s="796"/>
      <c r="AO25" s="796"/>
      <c r="AP25" s="796"/>
      <c r="AQ25" s="796"/>
      <c r="AR25" s="796"/>
      <c r="AS25" s="796"/>
      <c r="AT25" s="796"/>
      <c r="AU25" s="796"/>
    </row>
    <row r="26" spans="1:47" ht="16.5">
      <c r="A26" s="801"/>
      <c r="B26" s="1310"/>
      <c r="C26" s="1310"/>
      <c r="D26" s="801"/>
      <c r="E26" s="1310"/>
      <c r="G26" s="801"/>
      <c r="H26" s="1310"/>
      <c r="J26" s="801"/>
      <c r="K26" s="801"/>
      <c r="L26" s="801"/>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6"/>
      <c r="AK26" s="796"/>
      <c r="AL26" s="796"/>
      <c r="AM26" s="796"/>
      <c r="AN26" s="796"/>
      <c r="AO26" s="796"/>
      <c r="AP26" s="796"/>
      <c r="AQ26" s="796"/>
      <c r="AR26" s="796"/>
      <c r="AS26" s="796"/>
      <c r="AT26" s="796"/>
      <c r="AU26" s="796"/>
    </row>
    <row r="27" spans="1:47" ht="16.5">
      <c r="A27" s="801"/>
      <c r="B27" s="801"/>
      <c r="C27" s="801"/>
      <c r="D27" s="801"/>
      <c r="E27" s="952"/>
      <c r="G27" s="801"/>
      <c r="H27" s="801"/>
      <c r="J27" s="801"/>
      <c r="K27" s="801"/>
      <c r="L27" s="801"/>
      <c r="M27" s="796"/>
      <c r="N27" s="796"/>
      <c r="O27" s="796"/>
      <c r="P27" s="796"/>
      <c r="Q27" s="796"/>
      <c r="R27" s="796"/>
      <c r="S27" s="796"/>
      <c r="T27" s="796"/>
      <c r="U27" s="796"/>
      <c r="V27" s="796"/>
      <c r="W27" s="796"/>
      <c r="X27" s="796"/>
      <c r="Y27" s="796"/>
      <c r="Z27" s="796"/>
      <c r="AA27" s="796"/>
      <c r="AB27" s="796"/>
      <c r="AC27" s="796"/>
      <c r="AD27" s="796"/>
      <c r="AE27" s="796"/>
      <c r="AF27" s="796"/>
      <c r="AG27" s="796"/>
      <c r="AH27" s="796"/>
      <c r="AI27" s="796"/>
      <c r="AJ27" s="796"/>
      <c r="AK27" s="796"/>
      <c r="AL27" s="796"/>
      <c r="AM27" s="796"/>
      <c r="AN27" s="796"/>
      <c r="AO27" s="796"/>
      <c r="AP27" s="796"/>
      <c r="AQ27" s="796"/>
      <c r="AR27" s="796"/>
      <c r="AS27" s="796"/>
      <c r="AT27" s="796"/>
      <c r="AU27" s="796"/>
    </row>
    <row r="28" spans="1:47" ht="16.5">
      <c r="A28" s="801" t="s">
        <v>18</v>
      </c>
      <c r="B28" s="801" t="s">
        <v>2218</v>
      </c>
      <c r="C28" s="801"/>
      <c r="D28" s="801" t="s">
        <v>18</v>
      </c>
      <c r="E28" s="801" t="s">
        <v>2219</v>
      </c>
      <c r="G28" s="801" t="s">
        <v>18</v>
      </c>
      <c r="H28" s="801" t="s">
        <v>2220</v>
      </c>
      <c r="J28" s="801"/>
      <c r="K28" s="801"/>
      <c r="L28" s="801"/>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row>
    <row r="29" spans="1:47" ht="16.5">
      <c r="A29" s="801">
        <v>1</v>
      </c>
      <c r="B29" s="1014">
        <v>434</v>
      </c>
      <c r="C29" s="1014">
        <f t="shared" ref="C29:C35" si="6">$C$1*C74</f>
        <v>478</v>
      </c>
      <c r="D29" s="801">
        <v>1</v>
      </c>
      <c r="E29" s="1014">
        <v>482</v>
      </c>
      <c r="F29" s="1014">
        <f t="shared" ref="F29:F35" si="7">$C$1*F74</f>
        <v>525</v>
      </c>
      <c r="G29" s="801">
        <v>1</v>
      </c>
      <c r="H29" s="1014">
        <v>522</v>
      </c>
      <c r="I29" s="1014">
        <f t="shared" ref="I29:I35" si="8">$C$1*I74</f>
        <v>575</v>
      </c>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row>
    <row r="30" spans="1:47" ht="16.5">
      <c r="A30" s="801">
        <v>2</v>
      </c>
      <c r="B30" s="1014">
        <v>526</v>
      </c>
      <c r="C30" s="1014">
        <f t="shared" si="6"/>
        <v>579</v>
      </c>
      <c r="D30" s="801">
        <v>2</v>
      </c>
      <c r="E30" s="1014">
        <v>584</v>
      </c>
      <c r="F30" s="1014">
        <f t="shared" si="7"/>
        <v>636</v>
      </c>
      <c r="G30" s="801">
        <v>2</v>
      </c>
      <c r="H30" s="1014">
        <v>633</v>
      </c>
      <c r="I30" s="1014">
        <f t="shared" si="8"/>
        <v>697</v>
      </c>
      <c r="M30" s="796"/>
      <c r="N30" s="796"/>
      <c r="O30" s="796"/>
      <c r="P30" s="796"/>
      <c r="Q30" s="796"/>
      <c r="R30" s="796"/>
      <c r="S30" s="796"/>
      <c r="T30" s="796"/>
      <c r="U30" s="796"/>
      <c r="Y30" s="796"/>
      <c r="Z30" s="796"/>
      <c r="AA30" s="796"/>
      <c r="AB30" s="796"/>
      <c r="AC30" s="796"/>
      <c r="AD30" s="796"/>
      <c r="AE30" s="796"/>
      <c r="AF30" s="796"/>
      <c r="AG30" s="796"/>
      <c r="AH30" s="796"/>
      <c r="AI30" s="796"/>
      <c r="AJ30" s="796"/>
      <c r="AK30" s="796"/>
      <c r="AL30" s="796"/>
      <c r="AM30" s="796"/>
      <c r="AN30" s="796"/>
      <c r="AO30" s="796"/>
      <c r="AP30" s="796"/>
      <c r="AQ30" s="796"/>
      <c r="AR30" s="796"/>
      <c r="AS30" s="796"/>
      <c r="AT30" s="796"/>
      <c r="AU30" s="796"/>
    </row>
    <row r="31" spans="1:47" ht="16.5">
      <c r="A31" s="801">
        <v>3</v>
      </c>
      <c r="B31" s="1014">
        <v>626</v>
      </c>
      <c r="C31" s="1014">
        <f t="shared" si="6"/>
        <v>689</v>
      </c>
      <c r="D31" s="801">
        <v>3</v>
      </c>
      <c r="E31" s="1014">
        <v>695</v>
      </c>
      <c r="F31" s="1014">
        <f t="shared" si="7"/>
        <v>757</v>
      </c>
      <c r="G31" s="801">
        <v>3</v>
      </c>
      <c r="H31" s="1014">
        <v>753</v>
      </c>
      <c r="I31" s="1014">
        <f t="shared" si="8"/>
        <v>830</v>
      </c>
      <c r="M31" s="796"/>
      <c r="N31" s="796"/>
      <c r="O31" s="796"/>
      <c r="P31" s="796"/>
      <c r="Q31" s="796"/>
      <c r="R31" s="796"/>
      <c r="S31" s="796"/>
      <c r="T31" s="796"/>
      <c r="U31" s="796"/>
      <c r="V31" s="796"/>
      <c r="W31" s="796"/>
      <c r="X31" s="796"/>
      <c r="Y31" s="796"/>
      <c r="Z31" s="796"/>
      <c r="AA31" s="796"/>
      <c r="AB31" s="796"/>
      <c r="AC31" s="796"/>
      <c r="AD31" s="796"/>
      <c r="AE31" s="796"/>
      <c r="AF31" s="796"/>
      <c r="AG31" s="796"/>
      <c r="AH31" s="796"/>
      <c r="AI31" s="796"/>
      <c r="AJ31" s="796"/>
      <c r="AK31" s="796"/>
      <c r="AL31" s="796"/>
      <c r="AM31" s="796"/>
      <c r="AN31" s="796"/>
      <c r="AO31" s="796"/>
      <c r="AP31" s="796"/>
      <c r="AQ31" s="796"/>
      <c r="AR31" s="796"/>
      <c r="AS31" s="796"/>
      <c r="AT31" s="796"/>
      <c r="AU31" s="796"/>
    </row>
    <row r="32" spans="1:47" ht="16.5">
      <c r="A32" s="801">
        <v>4</v>
      </c>
      <c r="B32" s="1014">
        <v>730</v>
      </c>
      <c r="C32" s="1014">
        <f t="shared" si="6"/>
        <v>803</v>
      </c>
      <c r="D32" s="801">
        <v>4</v>
      </c>
      <c r="E32" s="1014">
        <v>811</v>
      </c>
      <c r="F32" s="1014">
        <f t="shared" si="7"/>
        <v>884</v>
      </c>
      <c r="G32" s="801">
        <v>4</v>
      </c>
      <c r="H32" s="1014">
        <v>879</v>
      </c>
      <c r="I32" s="1014">
        <f t="shared" si="8"/>
        <v>968</v>
      </c>
      <c r="M32" s="796"/>
      <c r="N32" s="796"/>
      <c r="O32" s="796"/>
      <c r="P32" s="796"/>
      <c r="Q32" s="796"/>
      <c r="R32" s="796"/>
      <c r="S32" s="796"/>
      <c r="T32" s="796"/>
      <c r="U32" s="796"/>
      <c r="V32" s="796"/>
      <c r="W32" s="796"/>
      <c r="X32" s="796"/>
      <c r="Y32" s="796"/>
      <c r="Z32" s="796"/>
      <c r="AA32" s="796"/>
      <c r="AB32" s="796"/>
      <c r="AC32" s="796"/>
      <c r="AD32" s="796"/>
      <c r="AE32" s="796"/>
      <c r="AF32" s="796"/>
      <c r="AG32" s="796"/>
      <c r="AH32" s="796"/>
      <c r="AI32" s="796"/>
      <c r="AJ32" s="796"/>
      <c r="AK32" s="796"/>
      <c r="AL32" s="796"/>
      <c r="AM32" s="796"/>
      <c r="AN32" s="796"/>
      <c r="AO32" s="796"/>
      <c r="AP32" s="796"/>
      <c r="AQ32" s="796"/>
      <c r="AR32" s="796"/>
      <c r="AS32" s="796"/>
      <c r="AT32" s="796"/>
      <c r="AU32" s="796"/>
    </row>
    <row r="33" spans="1:47" ht="16.5">
      <c r="A33" s="801">
        <v>5</v>
      </c>
      <c r="B33" s="1014">
        <v>834</v>
      </c>
      <c r="C33" s="1014">
        <f t="shared" si="6"/>
        <v>918</v>
      </c>
      <c r="D33" s="801">
        <v>5</v>
      </c>
      <c r="E33" s="1014">
        <v>927</v>
      </c>
      <c r="F33" s="1014">
        <f t="shared" si="7"/>
        <v>1010</v>
      </c>
      <c r="G33" s="801">
        <v>5</v>
      </c>
      <c r="H33" s="1014">
        <v>1004</v>
      </c>
      <c r="I33" s="1014">
        <f t="shared" si="8"/>
        <v>1106</v>
      </c>
      <c r="M33" s="796"/>
      <c r="N33" s="796"/>
      <c r="O33" s="796"/>
      <c r="P33" s="796"/>
      <c r="Q33" s="796"/>
      <c r="R33" s="796"/>
      <c r="S33" s="796"/>
      <c r="T33" s="796"/>
      <c r="U33" s="796"/>
      <c r="V33" s="796"/>
      <c r="W33" s="796"/>
      <c r="X33" s="796"/>
      <c r="Y33" s="796"/>
      <c r="Z33" s="796"/>
      <c r="AA33" s="796"/>
      <c r="AB33" s="796"/>
      <c r="AC33" s="796"/>
      <c r="AD33" s="796"/>
      <c r="AE33" s="796"/>
      <c r="AF33" s="796"/>
      <c r="AG33" s="796"/>
      <c r="AH33" s="796"/>
      <c r="AI33" s="796"/>
      <c r="AJ33" s="796"/>
      <c r="AK33" s="796"/>
      <c r="AL33" s="796"/>
      <c r="AM33" s="796"/>
      <c r="AN33" s="796"/>
      <c r="AO33" s="796"/>
      <c r="AP33" s="796"/>
      <c r="AQ33" s="796"/>
      <c r="AR33" s="796"/>
      <c r="AS33" s="796"/>
      <c r="AT33" s="796"/>
      <c r="AU33" s="796"/>
    </row>
    <row r="34" spans="1:47" ht="16.5">
      <c r="A34" s="801">
        <v>6</v>
      </c>
      <c r="B34" s="1014">
        <v>935</v>
      </c>
      <c r="C34" s="1014">
        <f t="shared" si="6"/>
        <v>1029</v>
      </c>
      <c r="D34" s="801">
        <v>6</v>
      </c>
      <c r="E34" s="1014">
        <v>1038</v>
      </c>
      <c r="F34" s="1014">
        <f t="shared" si="7"/>
        <v>1131</v>
      </c>
      <c r="G34" s="801">
        <v>6</v>
      </c>
      <c r="H34" s="1014">
        <v>1130</v>
      </c>
      <c r="I34" s="1014">
        <f t="shared" si="8"/>
        <v>1245</v>
      </c>
      <c r="M34" s="796"/>
      <c r="N34" s="796"/>
      <c r="O34" s="796"/>
      <c r="P34" s="796"/>
      <c r="Q34" s="796"/>
      <c r="R34" s="796"/>
      <c r="S34" s="796"/>
      <c r="T34" s="796"/>
      <c r="U34" s="796"/>
      <c r="V34" s="796"/>
      <c r="W34" s="796"/>
      <c r="X34" s="796"/>
      <c r="Y34" s="796"/>
      <c r="Z34" s="796"/>
      <c r="AA34" s="796"/>
      <c r="AB34" s="796"/>
      <c r="AC34" s="796"/>
      <c r="AD34" s="796"/>
      <c r="AE34" s="796"/>
      <c r="AF34" s="796"/>
      <c r="AG34" s="796"/>
      <c r="AH34" s="796"/>
      <c r="AI34" s="796"/>
      <c r="AJ34" s="796"/>
      <c r="AK34" s="796"/>
      <c r="AL34" s="796"/>
      <c r="AM34" s="796"/>
      <c r="AN34" s="796"/>
      <c r="AO34" s="796"/>
      <c r="AP34" s="796"/>
      <c r="AQ34" s="796"/>
      <c r="AR34" s="796"/>
      <c r="AS34" s="796"/>
      <c r="AT34" s="796"/>
      <c r="AU34" s="796"/>
    </row>
    <row r="35" spans="1:47" ht="16.5">
      <c r="A35" s="801">
        <v>7</v>
      </c>
      <c r="B35" s="1014">
        <v>1036</v>
      </c>
      <c r="C35" s="1014">
        <f t="shared" si="6"/>
        <v>1140</v>
      </c>
      <c r="D35" s="801">
        <v>7</v>
      </c>
      <c r="E35" s="1014">
        <v>1149</v>
      </c>
      <c r="F35" s="1014">
        <f t="shared" si="7"/>
        <v>1252</v>
      </c>
      <c r="G35" s="801">
        <v>7</v>
      </c>
      <c r="H35" s="1014">
        <v>1256</v>
      </c>
      <c r="I35" s="1014">
        <f t="shared" si="8"/>
        <v>1384</v>
      </c>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row>
    <row r="36" spans="1:47" ht="16.5">
      <c r="A36" s="801"/>
      <c r="B36" s="1310"/>
      <c r="C36" s="1310"/>
      <c r="D36" s="801"/>
      <c r="E36" s="1310"/>
      <c r="G36" s="801"/>
      <c r="H36" s="1310"/>
      <c r="J36" s="801"/>
      <c r="K36" s="801"/>
      <c r="L36" s="801"/>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row>
    <row r="37" spans="1:47" ht="16.5">
      <c r="A37" s="801"/>
      <c r="B37" s="801"/>
      <c r="C37" s="801"/>
      <c r="D37" s="801"/>
      <c r="E37" s="801"/>
      <c r="F37" s="801"/>
      <c r="G37" s="801"/>
      <c r="H37" s="801"/>
      <c r="I37" s="801"/>
      <c r="J37" s="801"/>
      <c r="K37" s="801"/>
      <c r="L37" s="801"/>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row>
    <row r="38" spans="1:47" ht="16.5">
      <c r="A38" s="801" t="s">
        <v>18</v>
      </c>
      <c r="B38" s="801" t="s">
        <v>2432</v>
      </c>
      <c r="C38" s="801"/>
      <c r="D38" s="801"/>
      <c r="E38" s="801"/>
      <c r="F38" s="801"/>
      <c r="G38" s="801"/>
      <c r="H38" s="801"/>
      <c r="I38" s="801"/>
      <c r="J38" s="801"/>
      <c r="K38" s="801"/>
      <c r="L38" s="801"/>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row>
    <row r="39" spans="1:47" ht="16.5">
      <c r="A39" s="801">
        <v>1</v>
      </c>
      <c r="B39" s="1014">
        <v>0</v>
      </c>
      <c r="C39" s="1014">
        <f t="shared" ref="C39:C45" si="9">$C$1*C84</f>
        <v>633</v>
      </c>
      <c r="D39" s="801"/>
      <c r="E39" s="801"/>
      <c r="F39" s="801"/>
      <c r="G39" s="801"/>
      <c r="H39" s="801"/>
      <c r="I39" s="801"/>
      <c r="J39" s="801"/>
      <c r="K39" s="801"/>
      <c r="L39" s="801"/>
      <c r="M39" s="796"/>
      <c r="N39" s="796"/>
      <c r="O39" s="796"/>
      <c r="P39" s="796"/>
      <c r="Q39" s="796"/>
      <c r="R39" s="796"/>
      <c r="S39" s="796"/>
      <c r="T39" s="796"/>
      <c r="U39" s="796"/>
      <c r="V39" s="796"/>
      <c r="W39" s="796"/>
      <c r="X39" s="796"/>
      <c r="Y39" s="796"/>
      <c r="Z39" s="796"/>
      <c r="AA39" s="796"/>
      <c r="AB39" s="796"/>
      <c r="AC39" s="796"/>
      <c r="AD39" s="796"/>
      <c r="AE39" s="796"/>
      <c r="AF39" s="796"/>
      <c r="AG39" s="796"/>
      <c r="AH39" s="796"/>
      <c r="AI39" s="796"/>
      <c r="AJ39" s="796"/>
      <c r="AK39" s="796"/>
      <c r="AL39" s="796"/>
      <c r="AM39" s="796"/>
      <c r="AN39" s="796"/>
      <c r="AO39" s="796"/>
      <c r="AP39" s="796"/>
      <c r="AQ39" s="796"/>
      <c r="AR39" s="796"/>
      <c r="AS39" s="796"/>
      <c r="AT39" s="796"/>
      <c r="AU39" s="796"/>
    </row>
    <row r="40" spans="1:47" ht="16.5">
      <c r="A40" s="801">
        <v>2</v>
      </c>
      <c r="B40" s="1014">
        <v>0</v>
      </c>
      <c r="C40" s="1014">
        <f t="shared" si="9"/>
        <v>767</v>
      </c>
      <c r="D40" s="801"/>
      <c r="E40" s="801"/>
      <c r="F40" s="801"/>
      <c r="G40" s="801"/>
      <c r="H40" s="801"/>
      <c r="I40" s="801"/>
      <c r="J40" s="801"/>
      <c r="K40" s="801"/>
      <c r="L40" s="801"/>
      <c r="M40" s="796"/>
      <c r="N40" s="796"/>
      <c r="O40" s="796"/>
      <c r="P40" s="796"/>
      <c r="Q40" s="796"/>
      <c r="R40" s="796"/>
      <c r="S40" s="796"/>
      <c r="T40" s="796"/>
      <c r="U40" s="796"/>
      <c r="V40" s="796"/>
      <c r="W40" s="796"/>
      <c r="X40" s="796"/>
      <c r="Y40" s="796"/>
      <c r="Z40" s="796"/>
      <c r="AA40" s="796"/>
      <c r="AB40" s="796"/>
      <c r="AC40" s="796"/>
      <c r="AD40" s="796"/>
      <c r="AE40" s="796"/>
      <c r="AF40" s="796"/>
      <c r="AG40" s="796"/>
      <c r="AH40" s="796"/>
      <c r="AI40" s="796"/>
      <c r="AJ40" s="796"/>
      <c r="AK40" s="796"/>
      <c r="AL40" s="796"/>
      <c r="AM40" s="796"/>
      <c r="AN40" s="796"/>
      <c r="AO40" s="796"/>
      <c r="AP40" s="796"/>
      <c r="AQ40" s="796"/>
      <c r="AR40" s="796"/>
      <c r="AS40" s="796"/>
      <c r="AT40" s="796"/>
      <c r="AU40" s="796"/>
    </row>
    <row r="41" spans="1:47" ht="16.5">
      <c r="A41" s="801">
        <v>3</v>
      </c>
      <c r="B41" s="1014">
        <v>0</v>
      </c>
      <c r="C41" s="1014">
        <f t="shared" si="9"/>
        <v>912</v>
      </c>
      <c r="D41" s="801"/>
      <c r="E41" s="801"/>
      <c r="F41" s="801"/>
      <c r="G41" s="801"/>
      <c r="H41" s="801"/>
      <c r="I41" s="801"/>
      <c r="J41" s="801"/>
      <c r="K41" s="801"/>
      <c r="L41" s="801"/>
      <c r="M41" s="796"/>
      <c r="N41" s="796"/>
      <c r="O41" s="796"/>
      <c r="P41" s="796"/>
      <c r="Q41" s="796"/>
      <c r="R41" s="796"/>
      <c r="S41" s="796"/>
      <c r="T41" s="796"/>
      <c r="U41" s="796"/>
      <c r="V41" s="796"/>
      <c r="W41" s="796"/>
      <c r="X41" s="796"/>
      <c r="Y41" s="796"/>
      <c r="Z41" s="796"/>
      <c r="AA41" s="796"/>
      <c r="AB41" s="796"/>
      <c r="AC41" s="796"/>
      <c r="AD41" s="796"/>
      <c r="AE41" s="796"/>
      <c r="AF41" s="796"/>
      <c r="AG41" s="796"/>
      <c r="AH41" s="796"/>
      <c r="AI41" s="796"/>
      <c r="AJ41" s="796"/>
      <c r="AK41" s="796"/>
      <c r="AL41" s="796"/>
      <c r="AM41" s="796"/>
      <c r="AN41" s="796"/>
      <c r="AO41" s="796"/>
      <c r="AP41" s="796"/>
      <c r="AQ41" s="796"/>
      <c r="AR41" s="796"/>
      <c r="AS41" s="796"/>
      <c r="AT41" s="796"/>
      <c r="AU41" s="796"/>
    </row>
    <row r="42" spans="1:47" ht="16.5">
      <c r="A42" s="801">
        <v>4</v>
      </c>
      <c r="B42" s="1014">
        <v>0</v>
      </c>
      <c r="C42" s="1014">
        <f t="shared" si="9"/>
        <v>1065</v>
      </c>
      <c r="D42" s="801"/>
      <c r="E42" s="801"/>
      <c r="F42" s="801"/>
      <c r="G42" s="801"/>
      <c r="H42" s="801"/>
      <c r="I42" s="801"/>
      <c r="J42" s="801"/>
      <c r="K42" s="801"/>
      <c r="L42" s="801"/>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row>
    <row r="43" spans="1:47" ht="16.5">
      <c r="A43" s="801">
        <v>5</v>
      </c>
      <c r="B43" s="1014">
        <v>0</v>
      </c>
      <c r="C43" s="1014">
        <f t="shared" si="9"/>
        <v>1217</v>
      </c>
      <c r="D43" s="801"/>
      <c r="E43" s="801"/>
      <c r="F43" s="801"/>
      <c r="G43" s="801"/>
      <c r="H43" s="801"/>
      <c r="I43" s="801"/>
      <c r="J43" s="801"/>
      <c r="K43" s="801"/>
      <c r="L43" s="801"/>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row>
    <row r="44" spans="1:47" ht="16.5">
      <c r="A44" s="801">
        <v>6</v>
      </c>
      <c r="B44" s="1014">
        <v>0</v>
      </c>
      <c r="C44" s="1014">
        <f t="shared" si="9"/>
        <v>1370</v>
      </c>
      <c r="D44" s="801"/>
      <c r="E44" s="801"/>
      <c r="F44" s="801"/>
      <c r="G44" s="801"/>
      <c r="H44" s="801"/>
      <c r="I44" s="801"/>
      <c r="J44" s="801"/>
      <c r="K44" s="801"/>
      <c r="L44" s="801"/>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row>
    <row r="45" spans="1:47" ht="16.5">
      <c r="A45" s="801">
        <v>7</v>
      </c>
      <c r="B45" s="1014">
        <v>0</v>
      </c>
      <c r="C45" s="1014">
        <f t="shared" si="9"/>
        <v>1523</v>
      </c>
      <c r="D45" s="801"/>
      <c r="E45" s="801"/>
      <c r="F45" s="801"/>
      <c r="G45" s="801"/>
      <c r="H45" s="801"/>
      <c r="I45" s="801"/>
      <c r="J45" s="801"/>
      <c r="K45" s="801"/>
      <c r="L45" s="801"/>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row>
    <row r="46" spans="1:47" ht="16.5">
      <c r="A46" s="801"/>
      <c r="B46" s="1310"/>
      <c r="C46" s="1310"/>
      <c r="D46" s="801"/>
      <c r="E46" s="801"/>
      <c r="F46" s="801"/>
      <c r="G46" s="801"/>
      <c r="H46" s="801"/>
      <c r="I46" s="801"/>
      <c r="J46" s="801"/>
      <c r="K46" s="801"/>
      <c r="L46" s="801"/>
      <c r="M46" s="796"/>
      <c r="N46" s="796"/>
      <c r="O46" s="796"/>
      <c r="P46" s="796"/>
      <c r="Q46" s="796"/>
      <c r="R46" s="796"/>
      <c r="S46" s="796"/>
      <c r="T46" s="796"/>
      <c r="U46" s="796"/>
      <c r="V46" s="796"/>
      <c r="W46" s="796"/>
      <c r="X46" s="796"/>
      <c r="Y46" s="796"/>
      <c r="Z46" s="796"/>
      <c r="AA46" s="796"/>
      <c r="AB46" s="796"/>
      <c r="AC46" s="796"/>
      <c r="AD46" s="796"/>
      <c r="AE46" s="796"/>
      <c r="AF46" s="796"/>
      <c r="AG46" s="796"/>
      <c r="AH46" s="796"/>
      <c r="AI46" s="796"/>
      <c r="AJ46" s="796"/>
      <c r="AK46" s="796"/>
      <c r="AL46" s="796"/>
      <c r="AM46" s="796"/>
      <c r="AN46" s="796"/>
      <c r="AO46" s="796"/>
      <c r="AP46" s="796"/>
      <c r="AQ46" s="796"/>
      <c r="AR46" s="796"/>
      <c r="AS46" s="796"/>
      <c r="AT46" s="796"/>
      <c r="AU46" s="796"/>
    </row>
    <row r="47" spans="1:47" ht="13.5">
      <c r="M47" s="796"/>
      <c r="N47" s="796"/>
      <c r="O47" s="796"/>
      <c r="P47" s="796"/>
      <c r="Q47" s="796"/>
      <c r="R47" s="796"/>
      <c r="S47" s="796"/>
      <c r="T47" s="796"/>
      <c r="U47" s="796"/>
      <c r="V47" s="796"/>
      <c r="W47" s="796"/>
      <c r="X47" s="796"/>
      <c r="Y47" s="796"/>
      <c r="Z47" s="796"/>
      <c r="AA47" s="796"/>
      <c r="AB47" s="796"/>
      <c r="AC47" s="796"/>
      <c r="AD47" s="796"/>
      <c r="AE47" s="796"/>
      <c r="AF47" s="796"/>
      <c r="AG47" s="796"/>
      <c r="AH47" s="796"/>
      <c r="AI47" s="796"/>
      <c r="AJ47" s="796"/>
      <c r="AK47" s="796"/>
      <c r="AL47" s="796"/>
      <c r="AM47" s="796"/>
      <c r="AN47" s="796"/>
      <c r="AO47" s="796"/>
      <c r="AP47" s="796"/>
      <c r="AQ47" s="796"/>
      <c r="AR47" s="796"/>
      <c r="AS47" s="796"/>
      <c r="AT47" s="796"/>
      <c r="AU47" s="796"/>
    </row>
    <row r="48" spans="1:47" ht="13.5">
      <c r="M48" s="796"/>
      <c r="N48" s="796"/>
      <c r="O48" s="796"/>
      <c r="P48" s="796"/>
      <c r="Q48" s="796"/>
      <c r="R48" s="796"/>
      <c r="S48" s="796"/>
      <c r="T48" s="796"/>
      <c r="U48" s="796"/>
      <c r="V48" s="796"/>
      <c r="W48" s="796"/>
      <c r="X48" s="796"/>
      <c r="Y48" s="796"/>
      <c r="Z48" s="796"/>
      <c r="AA48" s="796"/>
      <c r="AB48" s="796"/>
      <c r="AC48" s="796"/>
      <c r="AD48" s="796"/>
      <c r="AE48" s="796"/>
      <c r="AF48" s="796"/>
      <c r="AG48" s="796"/>
      <c r="AH48" s="796"/>
      <c r="AI48" s="796"/>
      <c r="AJ48" s="796"/>
      <c r="AK48" s="796"/>
      <c r="AL48" s="796"/>
      <c r="AM48" s="796"/>
      <c r="AN48" s="796"/>
      <c r="AO48" s="796"/>
      <c r="AP48" s="796"/>
      <c r="AQ48" s="796"/>
      <c r="AR48" s="796"/>
      <c r="AS48" s="796"/>
      <c r="AT48" s="796"/>
      <c r="AU48" s="796"/>
    </row>
    <row r="49" spans="1:47" ht="13.5">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row>
    <row r="50" spans="1:47" ht="13.5">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row>
    <row r="51" spans="1:47" ht="13.5">
      <c r="C51">
        <v>2020</v>
      </c>
      <c r="E51">
        <v>2020</v>
      </c>
      <c r="G51">
        <v>2020</v>
      </c>
      <c r="J51">
        <v>2020</v>
      </c>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row>
    <row r="52" spans="1:47" ht="16.5">
      <c r="A52" s="1279"/>
      <c r="B52" s="1280" t="s">
        <v>2203</v>
      </c>
      <c r="C52" s="1280"/>
      <c r="D52" s="1281" t="s">
        <v>2204</v>
      </c>
      <c r="E52" s="1281"/>
      <c r="F52" s="1282" t="s">
        <v>2205</v>
      </c>
      <c r="G52" s="1281"/>
      <c r="H52" s="1283"/>
      <c r="I52" s="1281" t="s">
        <v>2206</v>
      </c>
      <c r="J52" s="1281"/>
      <c r="K52" s="1281"/>
      <c r="L52" s="1282"/>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row>
    <row r="53" spans="1:47" ht="16.5">
      <c r="A53" s="1284"/>
      <c r="B53" s="1265"/>
      <c r="C53" s="1265"/>
      <c r="D53" s="1285"/>
      <c r="E53" s="1285"/>
      <c r="F53" s="1286"/>
      <c r="G53" s="1285"/>
      <c r="H53" s="1287"/>
      <c r="I53" s="1285" t="s">
        <v>2207</v>
      </c>
      <c r="J53" s="1285">
        <v>2020</v>
      </c>
      <c r="K53" s="1285" t="s">
        <v>2208</v>
      </c>
      <c r="L53" s="1286">
        <v>2020</v>
      </c>
      <c r="M53" s="796"/>
      <c r="N53" s="796"/>
      <c r="O53" s="796"/>
      <c r="P53" s="796"/>
      <c r="Q53" s="796"/>
      <c r="R53" s="796"/>
      <c r="S53" s="796"/>
      <c r="T53" s="796"/>
      <c r="U53" s="796"/>
      <c r="V53" s="796"/>
      <c r="W53" s="796"/>
      <c r="X53" s="796"/>
      <c r="Y53" s="796"/>
      <c r="Z53" s="796"/>
      <c r="AA53" s="796"/>
      <c r="AB53" s="796"/>
      <c r="AC53" s="796"/>
      <c r="AD53" s="796"/>
      <c r="AE53" s="796"/>
      <c r="AF53" s="796"/>
      <c r="AG53" s="796"/>
      <c r="AH53" s="796"/>
      <c r="AI53" s="796"/>
      <c r="AJ53" s="796"/>
      <c r="AK53" s="796"/>
      <c r="AL53" s="796"/>
      <c r="AM53" s="796"/>
      <c r="AN53" s="796"/>
      <c r="AO53" s="796"/>
      <c r="AP53" s="796"/>
      <c r="AQ53" s="796"/>
      <c r="AR53" s="796"/>
      <c r="AS53" s="796"/>
      <c r="AT53" s="796"/>
      <c r="AU53" s="796"/>
    </row>
    <row r="54" spans="1:47" ht="16.5">
      <c r="A54" s="1288">
        <v>1</v>
      </c>
      <c r="B54" s="1289">
        <v>0.04</v>
      </c>
      <c r="C54" s="1289">
        <v>0.04</v>
      </c>
      <c r="D54" s="1290">
        <v>6.3000000000000003E-4</v>
      </c>
      <c r="E54" s="1289">
        <v>5.8E-4</v>
      </c>
      <c r="F54" s="1291">
        <v>1.3799999999999999E-4</v>
      </c>
      <c r="G54" s="1289">
        <v>1.18E-4</v>
      </c>
      <c r="H54" s="1288">
        <v>1</v>
      </c>
      <c r="I54" s="834">
        <v>48</v>
      </c>
      <c r="J54" s="834">
        <v>52</v>
      </c>
      <c r="K54" s="834">
        <v>239</v>
      </c>
      <c r="L54" s="1892">
        <v>275</v>
      </c>
      <c r="M54" s="796"/>
      <c r="N54" s="796"/>
      <c r="O54" s="796"/>
      <c r="P54" s="796"/>
      <c r="Q54" s="796"/>
      <c r="R54" s="796"/>
      <c r="S54" s="796"/>
      <c r="T54" s="796"/>
      <c r="U54" s="796"/>
      <c r="V54" s="796"/>
      <c r="W54" s="796"/>
      <c r="X54" s="796"/>
      <c r="Y54" s="796"/>
      <c r="Z54" s="796"/>
      <c r="AA54" s="796"/>
      <c r="AB54" s="796"/>
      <c r="AC54" s="796"/>
      <c r="AD54" s="796"/>
      <c r="AE54" s="796"/>
      <c r="AF54" s="796"/>
      <c r="AG54" s="796"/>
      <c r="AH54" s="796"/>
      <c r="AI54" s="796"/>
      <c r="AJ54" s="796"/>
      <c r="AK54" s="796"/>
      <c r="AL54" s="796"/>
      <c r="AM54" s="796"/>
      <c r="AN54" s="796"/>
      <c r="AO54" s="796"/>
      <c r="AP54" s="796"/>
      <c r="AQ54" s="796"/>
      <c r="AR54" s="796"/>
      <c r="AS54" s="796"/>
      <c r="AT54" s="796"/>
      <c r="AU54" s="796"/>
    </row>
    <row r="55" spans="1:47" ht="16.5">
      <c r="A55" s="1288">
        <v>2</v>
      </c>
      <c r="B55" s="1289">
        <v>0.03</v>
      </c>
      <c r="C55" s="1289">
        <v>0.03</v>
      </c>
      <c r="D55" s="1290">
        <v>4.4000000000000002E-4</v>
      </c>
      <c r="E55" s="1289">
        <v>4.0499999999999998E-4</v>
      </c>
      <c r="F55" s="1291">
        <v>1.03E-4</v>
      </c>
      <c r="G55" s="1289">
        <v>8.7999999999999998E-5</v>
      </c>
      <c r="H55" s="1288">
        <v>2</v>
      </c>
      <c r="I55" s="834">
        <v>59</v>
      </c>
      <c r="J55" s="834">
        <v>64</v>
      </c>
      <c r="K55" s="834">
        <v>310</v>
      </c>
      <c r="L55" s="1892">
        <v>357</v>
      </c>
      <c r="M55" s="796"/>
      <c r="N55" s="796"/>
      <c r="O55" s="796"/>
      <c r="P55" s="796"/>
      <c r="Q55" s="796"/>
      <c r="R55" s="796"/>
      <c r="S55" s="796"/>
      <c r="T55" s="796"/>
      <c r="U55" s="796"/>
      <c r="V55" s="796"/>
      <c r="W55" s="796"/>
      <c r="X55" s="796"/>
      <c r="Y55" s="796"/>
      <c r="Z55" s="796"/>
      <c r="AA55" s="796"/>
      <c r="AB55" s="796"/>
      <c r="AC55" s="796"/>
      <c r="AD55" s="796"/>
      <c r="AE55" s="796"/>
      <c r="AF55" s="796"/>
      <c r="AG55" s="796"/>
      <c r="AH55" s="796"/>
      <c r="AI55" s="796"/>
      <c r="AJ55" s="796"/>
      <c r="AK55" s="796"/>
      <c r="AL55" s="796"/>
      <c r="AM55" s="796"/>
      <c r="AN55" s="796"/>
      <c r="AO55" s="796"/>
      <c r="AP55" s="796"/>
      <c r="AQ55" s="796"/>
      <c r="AR55" s="796"/>
      <c r="AS55" s="796"/>
      <c r="AT55" s="796"/>
      <c r="AU55" s="796"/>
    </row>
    <row r="56" spans="1:47" ht="16.5">
      <c r="A56" s="1288">
        <v>3</v>
      </c>
      <c r="B56" s="1289">
        <v>0.02</v>
      </c>
      <c r="C56" s="1289">
        <v>0.02</v>
      </c>
      <c r="D56" s="1290">
        <v>3.8000000000000002E-4</v>
      </c>
      <c r="E56" s="1289">
        <v>3.5E-4</v>
      </c>
      <c r="F56" s="1291">
        <v>8.2999999999999998E-5</v>
      </c>
      <c r="G56" s="1289">
        <v>7.0900000000000002E-5</v>
      </c>
      <c r="H56" s="1288">
        <v>3</v>
      </c>
      <c r="I56" s="834">
        <v>70</v>
      </c>
      <c r="J56" s="834">
        <v>76</v>
      </c>
      <c r="K56" s="834">
        <v>360</v>
      </c>
      <c r="L56" s="1892">
        <v>414</v>
      </c>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row>
    <row r="57" spans="1:47" ht="16.5">
      <c r="A57" s="1288">
        <v>4</v>
      </c>
      <c r="B57" s="1289">
        <v>0.01</v>
      </c>
      <c r="C57" s="1289">
        <v>0.01</v>
      </c>
      <c r="D57" s="1290">
        <v>3.4000000000000002E-4</v>
      </c>
      <c r="E57" s="1289">
        <v>3.1300000000000002E-4</v>
      </c>
      <c r="F57" s="1291">
        <v>4.3000000000000002E-5</v>
      </c>
      <c r="G57" s="1289">
        <v>3.68E-5</v>
      </c>
      <c r="H57" s="1288">
        <v>4</v>
      </c>
      <c r="I57" s="834">
        <v>81</v>
      </c>
      <c r="J57" s="834">
        <v>88</v>
      </c>
      <c r="K57" s="834">
        <v>389</v>
      </c>
      <c r="L57" s="1892">
        <v>447</v>
      </c>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row>
    <row r="58" spans="1:47" ht="16.5">
      <c r="A58" s="1288">
        <v>5</v>
      </c>
      <c r="B58" s="1289">
        <v>0</v>
      </c>
      <c r="C58" s="1289">
        <v>0</v>
      </c>
      <c r="D58" s="1290">
        <v>2.9999999999999997E-4</v>
      </c>
      <c r="E58" s="1289">
        <v>2.7599999999999999E-4</v>
      </c>
      <c r="F58" s="1291">
        <v>4.1999999999999998E-5</v>
      </c>
      <c r="G58" s="1289">
        <v>3.5899999999999998E-5</v>
      </c>
      <c r="H58" s="1288">
        <v>5</v>
      </c>
      <c r="I58" s="834">
        <v>91</v>
      </c>
      <c r="J58" s="834">
        <v>99</v>
      </c>
      <c r="K58" s="834">
        <v>463</v>
      </c>
      <c r="L58" s="1892">
        <v>532</v>
      </c>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row>
    <row r="59" spans="1:47" ht="16.5">
      <c r="A59" s="1288">
        <v>6</v>
      </c>
      <c r="B59" s="1289">
        <v>-0.01</v>
      </c>
      <c r="C59" s="1289">
        <v>-0.01</v>
      </c>
      <c r="D59" s="1290">
        <v>2.7999999999999998E-4</v>
      </c>
      <c r="E59" s="1289">
        <v>2.5799999999999998E-4</v>
      </c>
      <c r="F59" s="1291">
        <v>3.6000000000000001E-5</v>
      </c>
      <c r="G59" s="1289">
        <v>3.0800000000000003E-5</v>
      </c>
      <c r="H59" s="1288">
        <v>6</v>
      </c>
      <c r="I59" s="834">
        <v>91</v>
      </c>
      <c r="J59" s="834">
        <v>99</v>
      </c>
      <c r="K59" s="834">
        <v>537</v>
      </c>
      <c r="L59" s="1892">
        <v>618</v>
      </c>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row>
    <row r="60" spans="1:47" ht="16.5">
      <c r="A60" s="1293">
        <v>7</v>
      </c>
      <c r="B60" s="1294">
        <v>-0.02</v>
      </c>
      <c r="C60" s="1294">
        <v>-0.02</v>
      </c>
      <c r="D60" s="1295">
        <v>2.5999999999999998E-4</v>
      </c>
      <c r="E60" s="1294">
        <v>2.3900000000000001E-4</v>
      </c>
      <c r="F60" s="1296">
        <v>3.6999999999999998E-5</v>
      </c>
      <c r="G60" s="1294">
        <v>3.1600000000000002E-5</v>
      </c>
      <c r="H60" s="1293">
        <v>7</v>
      </c>
      <c r="I60" s="1297">
        <v>102</v>
      </c>
      <c r="J60" s="1297">
        <v>111</v>
      </c>
      <c r="K60" s="1297">
        <v>610</v>
      </c>
      <c r="L60" s="1893">
        <v>702</v>
      </c>
      <c r="M60" s="796"/>
      <c r="N60" s="796"/>
      <c r="O60" s="796"/>
      <c r="P60" s="796"/>
      <c r="Q60" s="796"/>
      <c r="R60" s="796"/>
      <c r="S60" s="796"/>
      <c r="T60" s="796"/>
      <c r="U60" s="796"/>
      <c r="V60" s="796"/>
      <c r="W60" s="796"/>
      <c r="X60" s="796"/>
      <c r="Y60" s="796"/>
      <c r="Z60" s="796"/>
      <c r="AA60" s="796"/>
      <c r="AB60" s="796"/>
      <c r="AC60" s="796"/>
      <c r="AD60" s="796"/>
      <c r="AE60" s="796"/>
      <c r="AF60" s="796"/>
      <c r="AG60" s="796"/>
      <c r="AH60" s="796"/>
      <c r="AI60" s="796"/>
      <c r="AJ60" s="796"/>
      <c r="AK60" s="796"/>
      <c r="AL60" s="796"/>
      <c r="AM60" s="796"/>
      <c r="AN60" s="796"/>
      <c r="AO60" s="796"/>
      <c r="AP60" s="796"/>
      <c r="AQ60" s="796"/>
      <c r="AR60" s="796"/>
      <c r="AS60" s="796"/>
      <c r="AT60" s="796"/>
      <c r="AU60" s="796"/>
    </row>
    <row r="61" spans="1:47" ht="13.5">
      <c r="M61" s="796"/>
      <c r="N61" s="796"/>
      <c r="O61" s="796"/>
      <c r="P61" s="796"/>
      <c r="Q61" s="796"/>
      <c r="R61" s="796"/>
      <c r="S61" s="796"/>
      <c r="T61" s="796"/>
      <c r="U61" s="796"/>
      <c r="V61" s="796"/>
      <c r="W61" s="796"/>
      <c r="X61" s="796"/>
      <c r="Y61" s="796"/>
      <c r="Z61" s="796"/>
      <c r="AA61" s="796"/>
      <c r="AB61" s="796"/>
      <c r="AC61" s="796"/>
      <c r="AD61" s="796"/>
      <c r="AE61" s="796"/>
      <c r="AF61" s="796"/>
      <c r="AG61" s="796"/>
      <c r="AH61" s="796"/>
      <c r="AI61" s="796"/>
      <c r="AJ61" s="796"/>
      <c r="AK61" s="796"/>
      <c r="AL61" s="796"/>
      <c r="AM61" s="796"/>
      <c r="AN61" s="796"/>
      <c r="AO61" s="796"/>
      <c r="AP61" s="796"/>
      <c r="AQ61" s="796"/>
      <c r="AR61" s="796"/>
      <c r="AS61" s="796"/>
      <c r="AT61" s="796"/>
      <c r="AU61" s="796"/>
    </row>
    <row r="62" spans="1:47" ht="13.5">
      <c r="M62" s="796"/>
      <c r="N62" s="796"/>
      <c r="O62" s="796"/>
      <c r="P62" s="796"/>
      <c r="Q62" s="796"/>
      <c r="R62" s="796"/>
      <c r="S62" s="796"/>
      <c r="T62" s="796"/>
      <c r="U62" s="796"/>
      <c r="V62" s="796"/>
      <c r="W62" s="796"/>
      <c r="X62" s="796"/>
      <c r="Y62" s="796"/>
      <c r="Z62" s="796"/>
      <c r="AA62" s="796"/>
      <c r="AB62" s="796"/>
      <c r="AC62" s="796"/>
      <c r="AD62" s="796"/>
      <c r="AE62" s="796"/>
      <c r="AF62" s="796"/>
      <c r="AG62" s="796"/>
      <c r="AH62" s="796"/>
      <c r="AI62" s="796"/>
      <c r="AJ62" s="796"/>
      <c r="AK62" s="796"/>
      <c r="AL62" s="796"/>
      <c r="AM62" s="796"/>
      <c r="AN62" s="796"/>
      <c r="AO62" s="796"/>
      <c r="AP62" s="796"/>
      <c r="AQ62" s="796"/>
      <c r="AR62" s="796"/>
      <c r="AS62" s="796"/>
      <c r="AT62" s="796"/>
      <c r="AU62" s="796"/>
    </row>
    <row r="63" spans="1:47" ht="16.5">
      <c r="A63" s="801" t="s">
        <v>18</v>
      </c>
      <c r="B63" s="801" t="s">
        <v>2215</v>
      </c>
      <c r="C63" s="801"/>
      <c r="D63" s="801" t="s">
        <v>18</v>
      </c>
      <c r="E63" s="801" t="s">
        <v>2216</v>
      </c>
      <c r="G63" s="801" t="s">
        <v>18</v>
      </c>
      <c r="H63" s="801" t="s">
        <v>2217</v>
      </c>
      <c r="J63" s="801"/>
      <c r="K63" s="801"/>
      <c r="L63" s="801"/>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row>
    <row r="64" spans="1:47" ht="16.5">
      <c r="A64" s="801">
        <v>1</v>
      </c>
      <c r="B64" s="1014">
        <v>312</v>
      </c>
      <c r="C64" s="1014">
        <v>338</v>
      </c>
      <c r="D64" s="801">
        <v>1</v>
      </c>
      <c r="E64" s="1014">
        <v>351</v>
      </c>
      <c r="F64" s="1014">
        <v>381</v>
      </c>
      <c r="G64" s="801">
        <v>1</v>
      </c>
      <c r="H64" s="1014">
        <v>390</v>
      </c>
      <c r="I64" s="1014">
        <v>426</v>
      </c>
      <c r="J64" s="801"/>
      <c r="K64" s="801"/>
      <c r="L64" s="801"/>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row>
    <row r="65" spans="1:47" ht="16.5">
      <c r="A65" s="801">
        <v>2</v>
      </c>
      <c r="B65" s="1014">
        <v>378</v>
      </c>
      <c r="C65" s="1014">
        <v>409</v>
      </c>
      <c r="D65" s="801">
        <v>2</v>
      </c>
      <c r="E65" s="1014">
        <v>425</v>
      </c>
      <c r="F65" s="1014">
        <v>461</v>
      </c>
      <c r="G65" s="801">
        <v>2</v>
      </c>
      <c r="H65" s="1014">
        <v>473</v>
      </c>
      <c r="I65" s="1014">
        <v>516</v>
      </c>
      <c r="J65" s="801"/>
      <c r="K65" s="801"/>
      <c r="L65" s="801"/>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row>
    <row r="66" spans="1:47" ht="16.5">
      <c r="A66" s="801">
        <v>3</v>
      </c>
      <c r="B66" s="1014">
        <v>450</v>
      </c>
      <c r="C66" s="1014">
        <v>487</v>
      </c>
      <c r="D66" s="801">
        <v>3</v>
      </c>
      <c r="E66" s="1014">
        <v>506</v>
      </c>
      <c r="F66" s="1014">
        <v>549</v>
      </c>
      <c r="G66" s="801">
        <v>3</v>
      </c>
      <c r="H66" s="1014">
        <v>563</v>
      </c>
      <c r="I66" s="1014">
        <v>614</v>
      </c>
      <c r="J66" s="801"/>
      <c r="K66" s="801"/>
      <c r="L66" s="801"/>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row>
    <row r="67" spans="1:47" ht="16.5">
      <c r="A67" s="801">
        <v>4</v>
      </c>
      <c r="B67" s="1014">
        <v>525</v>
      </c>
      <c r="C67" s="1014">
        <v>568</v>
      </c>
      <c r="D67" s="801">
        <v>4</v>
      </c>
      <c r="E67" s="1014">
        <v>591</v>
      </c>
      <c r="F67" s="1014">
        <v>641</v>
      </c>
      <c r="G67" s="801">
        <v>4</v>
      </c>
      <c r="H67" s="1014">
        <v>656</v>
      </c>
      <c r="I67" s="1014">
        <v>716</v>
      </c>
      <c r="J67" s="801"/>
      <c r="K67" s="801"/>
      <c r="L67" s="801"/>
      <c r="M67" s="796"/>
      <c r="N67" s="796"/>
      <c r="O67" s="796"/>
      <c r="P67" s="796"/>
      <c r="Q67" s="796"/>
      <c r="R67" s="796"/>
      <c r="S67" s="796"/>
      <c r="T67" s="796"/>
      <c r="U67" s="796"/>
      <c r="V67" s="796"/>
      <c r="W67" s="796"/>
      <c r="X67" s="796"/>
      <c r="Y67" s="796"/>
      <c r="Z67" s="796"/>
      <c r="AA67" s="796"/>
      <c r="AB67" s="796"/>
      <c r="AC67" s="796"/>
      <c r="AD67" s="796"/>
      <c r="AE67" s="796"/>
      <c r="AF67" s="796"/>
      <c r="AG67" s="796"/>
      <c r="AH67" s="796"/>
      <c r="AI67" s="796"/>
      <c r="AJ67" s="796"/>
      <c r="AK67" s="796"/>
      <c r="AL67" s="796"/>
      <c r="AM67" s="796"/>
      <c r="AN67" s="796"/>
      <c r="AO67" s="796"/>
      <c r="AP67" s="796"/>
      <c r="AQ67" s="796"/>
      <c r="AR67" s="796"/>
      <c r="AS67" s="796"/>
      <c r="AT67" s="796"/>
      <c r="AU67" s="796"/>
    </row>
    <row r="68" spans="1:47" ht="16.5">
      <c r="A68" s="801">
        <v>5</v>
      </c>
      <c r="B68" s="1014">
        <v>600</v>
      </c>
      <c r="C68" s="1014">
        <v>649</v>
      </c>
      <c r="D68" s="801">
        <v>5</v>
      </c>
      <c r="E68" s="1014">
        <v>675</v>
      </c>
      <c r="F68" s="1014">
        <v>732</v>
      </c>
      <c r="G68" s="801">
        <v>5</v>
      </c>
      <c r="H68" s="1014">
        <v>750</v>
      </c>
      <c r="I68" s="1014">
        <v>818</v>
      </c>
      <c r="J68" s="801"/>
      <c r="K68" s="801"/>
      <c r="L68" s="801"/>
      <c r="M68" s="796"/>
      <c r="N68" s="796"/>
      <c r="O68" s="796"/>
      <c r="P68" s="796"/>
      <c r="Q68" s="796"/>
      <c r="R68" s="796"/>
      <c r="S68" s="796"/>
      <c r="T68" s="796"/>
      <c r="U68" s="796"/>
      <c r="V68" s="796"/>
      <c r="W68" s="796"/>
      <c r="X68" s="796"/>
      <c r="Y68" s="796"/>
      <c r="Z68" s="796"/>
      <c r="AA68" s="796"/>
      <c r="AB68" s="796"/>
      <c r="AC68" s="796"/>
      <c r="AD68" s="796"/>
      <c r="AE68" s="796"/>
      <c r="AF68" s="796"/>
      <c r="AG68" s="796"/>
      <c r="AH68" s="796"/>
      <c r="AI68" s="796"/>
      <c r="AJ68" s="796"/>
      <c r="AK68" s="796"/>
      <c r="AL68" s="796"/>
      <c r="AM68" s="796"/>
      <c r="AN68" s="796"/>
      <c r="AO68" s="796"/>
      <c r="AP68" s="796"/>
      <c r="AQ68" s="796"/>
      <c r="AR68" s="796"/>
      <c r="AS68" s="796"/>
      <c r="AT68" s="796"/>
      <c r="AU68" s="796"/>
    </row>
    <row r="69" spans="1:47" ht="16.5">
      <c r="A69" s="801">
        <v>6</v>
      </c>
      <c r="B69" s="1014">
        <v>671</v>
      </c>
      <c r="C69" s="1014">
        <v>726</v>
      </c>
      <c r="D69" s="801">
        <v>6</v>
      </c>
      <c r="E69" s="1014">
        <v>756</v>
      </c>
      <c r="F69" s="1014">
        <v>820</v>
      </c>
      <c r="G69" s="801">
        <v>6</v>
      </c>
      <c r="H69" s="1014">
        <v>841</v>
      </c>
      <c r="I69" s="1014">
        <v>917</v>
      </c>
      <c r="J69" s="801"/>
      <c r="K69" s="801"/>
      <c r="L69" s="801"/>
      <c r="M69" s="796"/>
      <c r="N69" s="796"/>
      <c r="O69" s="796"/>
      <c r="P69" s="796"/>
      <c r="Q69" s="796"/>
      <c r="R69" s="796"/>
      <c r="S69" s="796"/>
      <c r="T69" s="796"/>
      <c r="U69" s="796"/>
      <c r="V69" s="796"/>
      <c r="W69" s="796"/>
      <c r="X69" s="796"/>
      <c r="Y69" s="796"/>
      <c r="Z69" s="796"/>
      <c r="AA69" s="796"/>
      <c r="AB69" s="796"/>
      <c r="AC69" s="796"/>
      <c r="AD69" s="796"/>
      <c r="AE69" s="796"/>
      <c r="AF69" s="796"/>
      <c r="AG69" s="796"/>
      <c r="AH69" s="796"/>
      <c r="AI69" s="796"/>
      <c r="AJ69" s="796"/>
      <c r="AK69" s="796"/>
      <c r="AL69" s="796"/>
      <c r="AM69" s="796"/>
      <c r="AN69" s="796"/>
      <c r="AO69" s="796"/>
      <c r="AP69" s="796"/>
      <c r="AQ69" s="796"/>
      <c r="AR69" s="796"/>
      <c r="AS69" s="796"/>
      <c r="AT69" s="796"/>
      <c r="AU69" s="796"/>
    </row>
    <row r="70" spans="1:47" ht="16.5">
      <c r="A70" s="801">
        <v>7</v>
      </c>
      <c r="B70" s="1014">
        <v>742</v>
      </c>
      <c r="C70" s="1014">
        <v>803</v>
      </c>
      <c r="D70" s="801">
        <v>7</v>
      </c>
      <c r="E70" s="1014">
        <v>837</v>
      </c>
      <c r="F70" s="1014">
        <v>908</v>
      </c>
      <c r="G70" s="801">
        <v>7</v>
      </c>
      <c r="H70" s="1014">
        <v>932</v>
      </c>
      <c r="I70" s="1014">
        <v>1016</v>
      </c>
      <c r="J70" s="801"/>
      <c r="K70" s="801"/>
      <c r="L70" s="801"/>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row>
    <row r="71" spans="1:47" ht="16.5">
      <c r="A71" s="801"/>
      <c r="B71" s="1310"/>
      <c r="C71" s="1310"/>
      <c r="D71" s="801"/>
      <c r="E71" s="1310"/>
      <c r="G71" s="801"/>
      <c r="H71" s="1310"/>
      <c r="J71" s="801"/>
      <c r="K71" s="801"/>
      <c r="L71" s="801"/>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row>
    <row r="72" spans="1:47" ht="16.5">
      <c r="A72" s="801"/>
      <c r="B72" s="801"/>
      <c r="C72" s="801"/>
      <c r="D72" s="801"/>
      <c r="E72" s="952"/>
      <c r="G72" s="801"/>
      <c r="H72" s="801"/>
      <c r="J72" s="801"/>
      <c r="K72" s="801"/>
      <c r="L72" s="801"/>
      <c r="M72" s="796"/>
      <c r="N72" s="796"/>
      <c r="O72" s="796"/>
      <c r="P72" s="796"/>
      <c r="Q72" s="796"/>
      <c r="R72" s="796"/>
      <c r="S72" s="796"/>
      <c r="T72" s="796"/>
      <c r="U72" s="796"/>
      <c r="V72" s="796"/>
      <c r="W72" s="796"/>
      <c r="X72" s="796"/>
      <c r="Y72" s="796"/>
      <c r="Z72" s="796"/>
      <c r="AA72" s="796"/>
      <c r="AB72" s="796"/>
      <c r="AC72" s="796"/>
      <c r="AD72" s="796"/>
      <c r="AE72" s="796"/>
      <c r="AF72" s="796"/>
      <c r="AG72" s="796"/>
      <c r="AH72" s="796"/>
      <c r="AI72" s="796"/>
      <c r="AJ72" s="796"/>
      <c r="AK72" s="796"/>
      <c r="AL72" s="796"/>
      <c r="AM72" s="796"/>
      <c r="AN72" s="796"/>
      <c r="AO72" s="796"/>
      <c r="AP72" s="796"/>
      <c r="AQ72" s="796"/>
      <c r="AR72" s="796"/>
      <c r="AS72" s="796"/>
      <c r="AT72" s="796"/>
      <c r="AU72" s="796"/>
    </row>
    <row r="73" spans="1:47" ht="16.5">
      <c r="A73" s="801" t="s">
        <v>18</v>
      </c>
      <c r="B73" s="801" t="s">
        <v>2218</v>
      </c>
      <c r="C73" s="801"/>
      <c r="D73" s="801" t="s">
        <v>18</v>
      </c>
      <c r="E73" s="801" t="s">
        <v>2219</v>
      </c>
      <c r="G73" s="801" t="s">
        <v>18</v>
      </c>
      <c r="H73" s="801" t="s">
        <v>2220</v>
      </c>
      <c r="J73" s="801"/>
      <c r="K73" s="801"/>
      <c r="L73" s="801"/>
      <c r="M73" s="796"/>
      <c r="N73" s="796"/>
      <c r="O73" s="796"/>
      <c r="P73" s="796"/>
      <c r="Q73" s="796"/>
      <c r="R73" s="796"/>
      <c r="S73" s="796"/>
      <c r="T73" s="796"/>
      <c r="U73" s="796"/>
      <c r="V73" s="796"/>
      <c r="W73" s="796"/>
      <c r="X73" s="796"/>
      <c r="Y73" s="796"/>
      <c r="Z73" s="796"/>
      <c r="AA73" s="796"/>
      <c r="AB73" s="796"/>
      <c r="AC73" s="796"/>
      <c r="AD73" s="796"/>
      <c r="AE73" s="796"/>
      <c r="AF73" s="796"/>
      <c r="AG73" s="796"/>
      <c r="AH73" s="796"/>
      <c r="AI73" s="796"/>
      <c r="AJ73" s="796"/>
      <c r="AK73" s="796"/>
      <c r="AL73" s="796"/>
      <c r="AM73" s="796"/>
      <c r="AN73" s="796"/>
      <c r="AO73" s="796"/>
      <c r="AP73" s="796"/>
      <c r="AQ73" s="796"/>
      <c r="AR73" s="796"/>
      <c r="AS73" s="796"/>
      <c r="AT73" s="796"/>
      <c r="AU73" s="796"/>
    </row>
    <row r="74" spans="1:47" ht="16.5">
      <c r="A74" s="801">
        <v>1</v>
      </c>
      <c r="B74" s="1014">
        <v>434</v>
      </c>
      <c r="C74" s="1014">
        <v>478</v>
      </c>
      <c r="D74" s="801">
        <v>1</v>
      </c>
      <c r="E74" s="1014">
        <v>482</v>
      </c>
      <c r="F74" s="1014">
        <v>525</v>
      </c>
      <c r="G74" s="801">
        <v>1</v>
      </c>
      <c r="H74" s="1014">
        <v>522</v>
      </c>
      <c r="I74" s="1014">
        <v>575</v>
      </c>
      <c r="M74" s="796"/>
      <c r="N74" s="796"/>
      <c r="O74" s="796"/>
      <c r="P74" s="796"/>
      <c r="Q74" s="796"/>
      <c r="R74" s="796"/>
      <c r="S74" s="796"/>
      <c r="T74" s="796"/>
      <c r="U74" s="796"/>
      <c r="V74" s="796"/>
      <c r="W74" s="796"/>
      <c r="X74" s="796"/>
      <c r="Y74" s="796"/>
      <c r="Z74" s="796"/>
      <c r="AA74" s="796"/>
      <c r="AB74" s="796"/>
      <c r="AC74" s="796"/>
      <c r="AD74" s="796"/>
      <c r="AE74" s="796"/>
      <c r="AF74" s="796"/>
      <c r="AG74" s="796"/>
      <c r="AH74" s="796"/>
      <c r="AI74" s="796"/>
      <c r="AJ74" s="796"/>
      <c r="AK74" s="796"/>
      <c r="AL74" s="796"/>
      <c r="AM74" s="796"/>
      <c r="AN74" s="796"/>
      <c r="AO74" s="796"/>
      <c r="AP74" s="796"/>
      <c r="AQ74" s="796"/>
      <c r="AR74" s="796"/>
      <c r="AS74" s="796"/>
      <c r="AT74" s="796"/>
      <c r="AU74" s="796"/>
    </row>
    <row r="75" spans="1:47" ht="16.5">
      <c r="A75" s="801">
        <v>2</v>
      </c>
      <c r="B75" s="1014">
        <v>526</v>
      </c>
      <c r="C75" s="1014">
        <v>579</v>
      </c>
      <c r="D75" s="801">
        <v>2</v>
      </c>
      <c r="E75" s="1014">
        <v>584</v>
      </c>
      <c r="F75" s="1014">
        <v>636</v>
      </c>
      <c r="G75" s="801">
        <v>2</v>
      </c>
      <c r="H75" s="1014">
        <v>633</v>
      </c>
      <c r="I75" s="1014">
        <v>697</v>
      </c>
      <c r="M75" s="796"/>
      <c r="N75" s="796"/>
      <c r="O75" s="796"/>
      <c r="P75" s="796"/>
      <c r="Q75" s="796"/>
      <c r="R75" s="796"/>
      <c r="S75" s="796"/>
      <c r="T75" s="796"/>
      <c r="U75" s="796"/>
      <c r="V75" s="796"/>
      <c r="W75" s="796"/>
      <c r="X75" s="796"/>
      <c r="Y75" s="796"/>
      <c r="Z75" s="796"/>
      <c r="AA75" s="796"/>
      <c r="AB75" s="796"/>
      <c r="AC75" s="796"/>
      <c r="AD75" s="796"/>
      <c r="AE75" s="796"/>
      <c r="AF75" s="796"/>
      <c r="AG75" s="796"/>
      <c r="AH75" s="796"/>
      <c r="AI75" s="796"/>
      <c r="AJ75" s="796"/>
      <c r="AK75" s="796"/>
      <c r="AL75" s="796"/>
      <c r="AM75" s="796"/>
      <c r="AN75" s="796"/>
      <c r="AO75" s="796"/>
      <c r="AP75" s="796"/>
      <c r="AQ75" s="796"/>
      <c r="AR75" s="796"/>
      <c r="AS75" s="796"/>
      <c r="AT75" s="796"/>
      <c r="AU75" s="796"/>
    </row>
    <row r="76" spans="1:47" ht="16.5">
      <c r="A76" s="801">
        <v>3</v>
      </c>
      <c r="B76" s="1014">
        <v>626</v>
      </c>
      <c r="C76" s="1014">
        <v>689</v>
      </c>
      <c r="D76" s="801">
        <v>3</v>
      </c>
      <c r="E76" s="1014">
        <v>695</v>
      </c>
      <c r="F76" s="1014">
        <v>757</v>
      </c>
      <c r="G76" s="801">
        <v>3</v>
      </c>
      <c r="H76" s="1014">
        <v>753</v>
      </c>
      <c r="I76" s="1014">
        <v>830</v>
      </c>
      <c r="M76" s="796"/>
      <c r="N76" s="796"/>
      <c r="O76" s="796"/>
      <c r="P76" s="796"/>
      <c r="Q76" s="796"/>
      <c r="R76" s="796"/>
      <c r="S76" s="796"/>
      <c r="T76" s="796"/>
      <c r="U76" s="796"/>
      <c r="V76" s="796"/>
      <c r="W76" s="796"/>
      <c r="X76" s="796"/>
      <c r="Y76" s="796"/>
      <c r="Z76" s="796"/>
      <c r="AA76" s="796"/>
      <c r="AB76" s="796"/>
      <c r="AC76" s="796"/>
      <c r="AD76" s="796"/>
      <c r="AE76" s="796"/>
      <c r="AF76" s="796"/>
      <c r="AG76" s="796"/>
      <c r="AH76" s="796"/>
      <c r="AI76" s="796"/>
      <c r="AJ76" s="796"/>
      <c r="AK76" s="796"/>
      <c r="AL76" s="796"/>
      <c r="AM76" s="796"/>
      <c r="AN76" s="796"/>
      <c r="AO76" s="796"/>
      <c r="AP76" s="796"/>
      <c r="AQ76" s="796"/>
      <c r="AR76" s="796"/>
      <c r="AS76" s="796"/>
      <c r="AT76" s="796"/>
      <c r="AU76" s="796"/>
    </row>
    <row r="77" spans="1:47" ht="16.5">
      <c r="A77" s="801">
        <v>4</v>
      </c>
      <c r="B77" s="1014">
        <v>730</v>
      </c>
      <c r="C77" s="1014">
        <v>803</v>
      </c>
      <c r="D77" s="801">
        <v>4</v>
      </c>
      <c r="E77" s="1014">
        <v>811</v>
      </c>
      <c r="F77" s="1014">
        <v>884</v>
      </c>
      <c r="G77" s="801">
        <v>4</v>
      </c>
      <c r="H77" s="1014">
        <v>879</v>
      </c>
      <c r="I77" s="1014">
        <v>968</v>
      </c>
      <c r="M77" s="796"/>
      <c r="N77" s="796"/>
      <c r="O77" s="796"/>
      <c r="P77" s="796"/>
      <c r="Q77" s="796"/>
      <c r="R77" s="796"/>
      <c r="S77" s="796"/>
      <c r="T77" s="796"/>
      <c r="U77" s="796"/>
      <c r="V77" s="796"/>
      <c r="W77" s="796"/>
      <c r="X77" s="796"/>
      <c r="Y77" s="796"/>
      <c r="Z77" s="796"/>
      <c r="AA77" s="796"/>
      <c r="AB77" s="796"/>
      <c r="AC77" s="796"/>
      <c r="AD77" s="796"/>
      <c r="AE77" s="796"/>
      <c r="AF77" s="796"/>
      <c r="AG77" s="796"/>
      <c r="AH77" s="796"/>
      <c r="AI77" s="796"/>
      <c r="AJ77" s="796"/>
      <c r="AK77" s="796"/>
      <c r="AL77" s="796"/>
      <c r="AM77" s="796"/>
      <c r="AN77" s="796"/>
      <c r="AO77" s="796"/>
      <c r="AP77" s="796"/>
      <c r="AQ77" s="796"/>
      <c r="AR77" s="796"/>
      <c r="AS77" s="796"/>
      <c r="AT77" s="796"/>
      <c r="AU77" s="796"/>
    </row>
    <row r="78" spans="1:47" ht="16.5">
      <c r="A78" s="801">
        <v>5</v>
      </c>
      <c r="B78" s="1014">
        <v>834</v>
      </c>
      <c r="C78" s="1014">
        <v>918</v>
      </c>
      <c r="D78" s="801">
        <v>5</v>
      </c>
      <c r="E78" s="1014">
        <v>927</v>
      </c>
      <c r="F78" s="1014">
        <v>1010</v>
      </c>
      <c r="G78" s="801">
        <v>5</v>
      </c>
      <c r="H78" s="1014">
        <v>1004</v>
      </c>
      <c r="I78" s="1014">
        <v>1106</v>
      </c>
      <c r="M78" s="796"/>
      <c r="N78" s="796"/>
      <c r="O78" s="796"/>
      <c r="P78" s="796"/>
      <c r="Q78" s="796"/>
      <c r="R78" s="796"/>
      <c r="S78" s="796"/>
      <c r="T78" s="796"/>
      <c r="U78" s="796"/>
      <c r="V78" s="796"/>
      <c r="W78" s="796"/>
      <c r="X78" s="796"/>
      <c r="Y78" s="796"/>
      <c r="Z78" s="796"/>
      <c r="AA78" s="796"/>
      <c r="AB78" s="796"/>
      <c r="AC78" s="796"/>
      <c r="AD78" s="796"/>
      <c r="AE78" s="796"/>
      <c r="AF78" s="796"/>
      <c r="AG78" s="796"/>
      <c r="AH78" s="796"/>
      <c r="AI78" s="796"/>
      <c r="AJ78" s="796"/>
      <c r="AK78" s="796"/>
      <c r="AL78" s="796"/>
      <c r="AM78" s="796"/>
      <c r="AN78" s="796"/>
      <c r="AO78" s="796"/>
      <c r="AP78" s="796"/>
      <c r="AQ78" s="796"/>
      <c r="AR78" s="796"/>
      <c r="AS78" s="796"/>
      <c r="AT78" s="796"/>
      <c r="AU78" s="796"/>
    </row>
    <row r="79" spans="1:47" ht="16.5">
      <c r="A79" s="801">
        <v>6</v>
      </c>
      <c r="B79" s="1014">
        <v>935</v>
      </c>
      <c r="C79" s="1014">
        <v>1029</v>
      </c>
      <c r="D79" s="801">
        <v>6</v>
      </c>
      <c r="E79" s="1014">
        <v>1038</v>
      </c>
      <c r="F79" s="1014">
        <v>1131</v>
      </c>
      <c r="G79" s="801">
        <v>6</v>
      </c>
      <c r="H79" s="1014">
        <v>1130</v>
      </c>
      <c r="I79" s="1014">
        <v>1245</v>
      </c>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796"/>
      <c r="AP79" s="796"/>
      <c r="AQ79" s="796"/>
      <c r="AR79" s="796"/>
      <c r="AS79" s="796"/>
      <c r="AT79" s="796"/>
      <c r="AU79" s="796"/>
    </row>
    <row r="80" spans="1:47" ht="16.5">
      <c r="A80" s="801">
        <v>7</v>
      </c>
      <c r="B80" s="1014">
        <v>1036</v>
      </c>
      <c r="C80" s="1014">
        <v>1140</v>
      </c>
      <c r="D80" s="801">
        <v>7</v>
      </c>
      <c r="E80" s="1014">
        <v>1149</v>
      </c>
      <c r="F80" s="1014">
        <v>1252</v>
      </c>
      <c r="G80" s="801">
        <v>7</v>
      </c>
      <c r="H80" s="1014">
        <v>1256</v>
      </c>
      <c r="I80" s="1014">
        <v>1384</v>
      </c>
      <c r="M80" s="796"/>
      <c r="N80" s="796"/>
      <c r="O80" s="796"/>
      <c r="P80" s="796"/>
      <c r="Q80" s="796"/>
      <c r="R80" s="796"/>
      <c r="S80" s="796"/>
      <c r="T80" s="796"/>
      <c r="U80" s="796"/>
      <c r="V80" s="796"/>
      <c r="W80" s="796"/>
      <c r="X80" s="796"/>
      <c r="Y80" s="796"/>
      <c r="Z80" s="796"/>
      <c r="AA80" s="796"/>
      <c r="AB80" s="796"/>
      <c r="AC80" s="796"/>
      <c r="AD80" s="796"/>
      <c r="AE80" s="796"/>
      <c r="AF80" s="796"/>
      <c r="AG80" s="796"/>
      <c r="AH80" s="796"/>
      <c r="AI80" s="796"/>
      <c r="AJ80" s="796"/>
      <c r="AK80" s="796"/>
      <c r="AL80" s="796"/>
      <c r="AM80" s="796"/>
      <c r="AN80" s="796"/>
      <c r="AO80" s="796"/>
      <c r="AP80" s="796"/>
      <c r="AQ80" s="796"/>
      <c r="AR80" s="796"/>
      <c r="AS80" s="796"/>
      <c r="AT80" s="796"/>
      <c r="AU80" s="796"/>
    </row>
    <row r="81" spans="1:47" ht="16.5">
      <c r="A81" s="801"/>
      <c r="B81" s="1310"/>
      <c r="C81" s="1310"/>
      <c r="D81" s="801"/>
      <c r="E81" s="1310"/>
      <c r="G81" s="801"/>
      <c r="H81" s="1310"/>
      <c r="J81" s="801"/>
      <c r="K81" s="801"/>
      <c r="L81" s="801"/>
      <c r="M81" s="796"/>
      <c r="N81" s="796"/>
      <c r="O81" s="796"/>
      <c r="P81" s="796"/>
      <c r="Q81" s="796"/>
      <c r="R81" s="796"/>
      <c r="S81" s="796"/>
      <c r="T81" s="796"/>
      <c r="U81" s="796"/>
      <c r="V81" s="796"/>
      <c r="W81" s="796"/>
      <c r="X81" s="796"/>
      <c r="Y81" s="796"/>
      <c r="Z81" s="796"/>
      <c r="AA81" s="796"/>
      <c r="AB81" s="796"/>
      <c r="AC81" s="796"/>
      <c r="AD81" s="796"/>
      <c r="AE81" s="796"/>
      <c r="AF81" s="796"/>
      <c r="AG81" s="796"/>
      <c r="AH81" s="796"/>
      <c r="AI81" s="796"/>
      <c r="AJ81" s="796"/>
      <c r="AK81" s="796"/>
      <c r="AL81" s="796"/>
      <c r="AM81" s="796"/>
      <c r="AN81" s="796"/>
      <c r="AO81" s="796"/>
      <c r="AP81" s="796"/>
      <c r="AQ81" s="796"/>
      <c r="AR81" s="796"/>
      <c r="AS81" s="796"/>
      <c r="AT81" s="796"/>
      <c r="AU81" s="796"/>
    </row>
    <row r="82" spans="1:47" ht="16.5">
      <c r="A82" s="801"/>
      <c r="B82" s="801"/>
      <c r="C82" s="801"/>
      <c r="D82" s="801"/>
      <c r="E82" s="801"/>
      <c r="F82" s="801"/>
      <c r="G82" s="801"/>
      <c r="H82" s="801"/>
      <c r="I82" s="801"/>
      <c r="J82" s="801"/>
      <c r="K82" s="801"/>
      <c r="L82" s="801"/>
      <c r="M82" s="796"/>
      <c r="N82" s="796"/>
      <c r="O82" s="796"/>
      <c r="P82" s="796"/>
      <c r="Q82" s="796"/>
      <c r="R82" s="796"/>
      <c r="S82" s="796"/>
      <c r="T82" s="796"/>
      <c r="U82" s="796"/>
      <c r="V82" s="796"/>
      <c r="W82" s="796"/>
      <c r="X82" s="796"/>
      <c r="Y82" s="796"/>
      <c r="Z82" s="796"/>
      <c r="AA82" s="796"/>
      <c r="AB82" s="796"/>
      <c r="AC82" s="796"/>
      <c r="AD82" s="796"/>
      <c r="AE82" s="796"/>
      <c r="AF82" s="796"/>
      <c r="AG82" s="796"/>
      <c r="AH82" s="796"/>
      <c r="AI82" s="796"/>
      <c r="AJ82" s="796"/>
      <c r="AK82" s="796"/>
      <c r="AL82" s="796"/>
      <c r="AM82" s="796"/>
      <c r="AN82" s="796"/>
      <c r="AO82" s="796"/>
      <c r="AP82" s="796"/>
      <c r="AQ82" s="796"/>
      <c r="AR82" s="796"/>
      <c r="AS82" s="796"/>
      <c r="AT82" s="796"/>
      <c r="AU82" s="796"/>
    </row>
    <row r="83" spans="1:47" ht="16.5">
      <c r="A83" s="801" t="s">
        <v>18</v>
      </c>
      <c r="B83" s="801" t="s">
        <v>2432</v>
      </c>
      <c r="C83" s="801"/>
      <c r="D83" s="801"/>
      <c r="E83" s="801"/>
      <c r="F83" s="801"/>
      <c r="G83" s="801"/>
      <c r="H83" s="801"/>
      <c r="I83" s="801"/>
      <c r="J83" s="801"/>
      <c r="K83" s="801"/>
      <c r="L83" s="801"/>
      <c r="M83" s="796"/>
      <c r="N83" s="796"/>
      <c r="O83" s="796"/>
      <c r="P83" s="796"/>
      <c r="Q83" s="796"/>
      <c r="R83" s="796"/>
      <c r="S83" s="796"/>
      <c r="T83" s="796"/>
      <c r="U83" s="796"/>
      <c r="V83" s="796"/>
      <c r="W83" s="796"/>
      <c r="X83" s="796"/>
      <c r="Y83" s="796"/>
      <c r="Z83" s="796"/>
      <c r="AA83" s="796"/>
      <c r="AB83" s="796"/>
      <c r="AC83" s="796"/>
      <c r="AD83" s="796"/>
      <c r="AE83" s="796"/>
      <c r="AF83" s="796"/>
      <c r="AG83" s="796"/>
      <c r="AH83" s="796"/>
      <c r="AI83" s="796"/>
      <c r="AJ83" s="796"/>
      <c r="AK83" s="796"/>
      <c r="AL83" s="796"/>
      <c r="AM83" s="796"/>
      <c r="AN83" s="796"/>
      <c r="AO83" s="796"/>
      <c r="AP83" s="796"/>
      <c r="AQ83" s="796"/>
      <c r="AR83" s="796"/>
      <c r="AS83" s="796"/>
      <c r="AT83" s="796"/>
      <c r="AU83" s="796"/>
    </row>
    <row r="84" spans="1:47" ht="16.5">
      <c r="A84" s="801">
        <v>1</v>
      </c>
      <c r="B84" s="1014">
        <v>0</v>
      </c>
      <c r="C84" s="1014">
        <v>633</v>
      </c>
      <c r="D84" s="801"/>
      <c r="E84" s="801"/>
      <c r="F84" s="801"/>
      <c r="G84" s="801"/>
      <c r="H84" s="801"/>
      <c r="I84" s="801"/>
      <c r="J84" s="801"/>
      <c r="K84" s="801"/>
      <c r="L84" s="801"/>
      <c r="M84" s="796"/>
      <c r="N84" s="796"/>
      <c r="O84" s="796"/>
      <c r="P84" s="796"/>
      <c r="Q84" s="796"/>
      <c r="R84" s="796"/>
      <c r="S84" s="796"/>
      <c r="T84" s="796"/>
      <c r="U84" s="796"/>
      <c r="V84" s="796"/>
      <c r="W84" s="796"/>
      <c r="X84" s="796"/>
      <c r="Y84" s="796"/>
      <c r="Z84" s="796"/>
      <c r="AA84" s="796"/>
      <c r="AB84" s="796"/>
      <c r="AC84" s="796"/>
      <c r="AD84" s="796"/>
      <c r="AE84" s="796"/>
      <c r="AF84" s="796"/>
      <c r="AG84" s="796"/>
      <c r="AH84" s="796"/>
      <c r="AI84" s="796"/>
      <c r="AJ84" s="796"/>
      <c r="AK84" s="796"/>
      <c r="AL84" s="796"/>
      <c r="AM84" s="796"/>
      <c r="AN84" s="796"/>
      <c r="AO84" s="796"/>
      <c r="AP84" s="796"/>
      <c r="AQ84" s="796"/>
      <c r="AR84" s="796"/>
      <c r="AS84" s="796"/>
      <c r="AT84" s="796"/>
      <c r="AU84" s="796"/>
    </row>
    <row r="85" spans="1:47" ht="16.5">
      <c r="A85" s="801">
        <v>2</v>
      </c>
      <c r="B85" s="1014">
        <v>0</v>
      </c>
      <c r="C85" s="1014">
        <v>767</v>
      </c>
      <c r="D85" s="801"/>
      <c r="E85" s="801"/>
      <c r="F85" s="801"/>
      <c r="G85" s="801"/>
      <c r="H85" s="801"/>
      <c r="I85" s="801"/>
      <c r="J85" s="801"/>
      <c r="K85" s="801"/>
      <c r="L85" s="801"/>
      <c r="M85" s="796"/>
      <c r="N85" s="796"/>
      <c r="O85" s="796"/>
      <c r="P85" s="796"/>
      <c r="Q85" s="796"/>
      <c r="R85" s="796"/>
      <c r="S85" s="796"/>
      <c r="T85" s="796"/>
      <c r="U85" s="796"/>
      <c r="V85" s="796"/>
      <c r="W85" s="796"/>
      <c r="X85" s="796"/>
      <c r="Y85" s="796"/>
      <c r="Z85" s="796"/>
      <c r="AA85" s="796"/>
      <c r="AB85" s="796"/>
      <c r="AC85" s="796"/>
      <c r="AD85" s="796"/>
      <c r="AE85" s="796"/>
      <c r="AF85" s="796"/>
      <c r="AG85" s="796"/>
      <c r="AH85" s="796"/>
      <c r="AI85" s="796"/>
      <c r="AJ85" s="796"/>
      <c r="AK85" s="796"/>
      <c r="AL85" s="796"/>
      <c r="AM85" s="796"/>
      <c r="AN85" s="796"/>
      <c r="AO85" s="796"/>
      <c r="AP85" s="796"/>
      <c r="AQ85" s="796"/>
      <c r="AR85" s="796"/>
      <c r="AS85" s="796"/>
      <c r="AT85" s="796"/>
      <c r="AU85" s="796"/>
    </row>
    <row r="86" spans="1:47" ht="16.5">
      <c r="A86" s="801">
        <v>3</v>
      </c>
      <c r="B86" s="1014">
        <v>0</v>
      </c>
      <c r="C86" s="1014">
        <v>912</v>
      </c>
      <c r="D86" s="801"/>
      <c r="E86" s="801"/>
      <c r="F86" s="801"/>
      <c r="G86" s="801"/>
      <c r="H86" s="801"/>
      <c r="I86" s="801"/>
      <c r="J86" s="801"/>
      <c r="K86" s="801"/>
      <c r="L86" s="801"/>
      <c r="M86" s="796"/>
      <c r="N86" s="796"/>
      <c r="O86" s="796"/>
      <c r="P86" s="796"/>
      <c r="Q86" s="796"/>
      <c r="R86" s="796"/>
      <c r="S86" s="796"/>
      <c r="T86" s="796"/>
      <c r="U86" s="796"/>
      <c r="V86" s="796"/>
      <c r="W86" s="796"/>
      <c r="X86" s="796"/>
      <c r="Y86" s="796"/>
      <c r="Z86" s="796"/>
      <c r="AA86" s="796"/>
      <c r="AB86" s="796"/>
      <c r="AC86" s="796"/>
      <c r="AD86" s="796"/>
      <c r="AE86" s="796"/>
      <c r="AF86" s="796"/>
      <c r="AG86" s="796"/>
      <c r="AH86" s="796"/>
      <c r="AI86" s="796"/>
      <c r="AJ86" s="796"/>
      <c r="AK86" s="796"/>
      <c r="AL86" s="796"/>
      <c r="AM86" s="796"/>
      <c r="AN86" s="796"/>
      <c r="AO86" s="796"/>
      <c r="AP86" s="796"/>
      <c r="AQ86" s="796"/>
      <c r="AR86" s="796"/>
      <c r="AS86" s="796"/>
      <c r="AT86" s="796"/>
      <c r="AU86" s="796"/>
    </row>
    <row r="87" spans="1:47" ht="16.5">
      <c r="A87" s="801">
        <v>4</v>
      </c>
      <c r="B87" s="1014">
        <v>0</v>
      </c>
      <c r="C87" s="1014">
        <v>1065</v>
      </c>
      <c r="D87" s="801"/>
      <c r="E87" s="801"/>
      <c r="F87" s="801"/>
      <c r="G87" s="801"/>
      <c r="H87" s="801"/>
      <c r="I87" s="801"/>
      <c r="J87" s="801"/>
      <c r="K87" s="801"/>
      <c r="L87" s="801"/>
      <c r="M87" s="796"/>
      <c r="N87" s="796"/>
      <c r="O87" s="796"/>
      <c r="P87" s="796"/>
      <c r="Q87" s="796"/>
      <c r="R87" s="796"/>
      <c r="S87" s="796"/>
      <c r="T87" s="796"/>
      <c r="U87" s="796"/>
      <c r="V87" s="796"/>
      <c r="W87" s="796"/>
      <c r="X87" s="796"/>
      <c r="Y87" s="796"/>
      <c r="Z87" s="796"/>
      <c r="AA87" s="796"/>
      <c r="AB87" s="796"/>
      <c r="AC87" s="796"/>
      <c r="AD87" s="796"/>
      <c r="AE87" s="796"/>
      <c r="AF87" s="796"/>
      <c r="AG87" s="796"/>
      <c r="AH87" s="796"/>
      <c r="AI87" s="796"/>
      <c r="AJ87" s="796"/>
      <c r="AK87" s="796"/>
      <c r="AL87" s="796"/>
      <c r="AM87" s="796"/>
      <c r="AN87" s="796"/>
      <c r="AO87" s="796"/>
      <c r="AP87" s="796"/>
      <c r="AQ87" s="796"/>
      <c r="AR87" s="796"/>
      <c r="AS87" s="796"/>
      <c r="AT87" s="796"/>
      <c r="AU87" s="796"/>
    </row>
    <row r="88" spans="1:47" ht="16.5">
      <c r="A88" s="801">
        <v>5</v>
      </c>
      <c r="B88" s="1014">
        <v>0</v>
      </c>
      <c r="C88" s="1014">
        <v>1217</v>
      </c>
      <c r="D88" s="801"/>
      <c r="E88" s="801"/>
      <c r="F88" s="801"/>
      <c r="G88" s="801"/>
      <c r="H88" s="801"/>
      <c r="I88" s="801"/>
      <c r="J88" s="801"/>
      <c r="K88" s="801"/>
      <c r="L88" s="801"/>
      <c r="M88" s="796"/>
      <c r="N88" s="796"/>
      <c r="O88" s="796"/>
      <c r="P88" s="796"/>
      <c r="Q88" s="796"/>
      <c r="R88" s="796"/>
      <c r="S88" s="796"/>
      <c r="T88" s="796"/>
      <c r="U88" s="796"/>
      <c r="V88" s="796"/>
      <c r="W88" s="796"/>
      <c r="X88" s="796"/>
      <c r="Y88" s="796"/>
      <c r="Z88" s="796"/>
      <c r="AA88" s="796"/>
      <c r="AB88" s="796"/>
      <c r="AC88" s="796"/>
      <c r="AD88" s="796"/>
      <c r="AE88" s="796"/>
      <c r="AF88" s="796"/>
      <c r="AG88" s="796"/>
      <c r="AH88" s="796"/>
      <c r="AI88" s="796"/>
      <c r="AJ88" s="796"/>
      <c r="AK88" s="796"/>
      <c r="AL88" s="796"/>
      <c r="AM88" s="796"/>
      <c r="AN88" s="796"/>
      <c r="AO88" s="796"/>
      <c r="AP88" s="796"/>
      <c r="AQ88" s="796"/>
      <c r="AR88" s="796"/>
      <c r="AS88" s="796"/>
      <c r="AT88" s="796"/>
      <c r="AU88" s="796"/>
    </row>
    <row r="89" spans="1:47" ht="16.5">
      <c r="A89" s="801">
        <v>6</v>
      </c>
      <c r="B89" s="1014">
        <v>0</v>
      </c>
      <c r="C89" s="1014">
        <v>1370</v>
      </c>
      <c r="D89" s="801"/>
      <c r="E89" s="801"/>
      <c r="F89" s="801"/>
      <c r="G89" s="801"/>
      <c r="H89" s="801"/>
      <c r="I89" s="801"/>
      <c r="J89" s="801"/>
      <c r="K89" s="801"/>
      <c r="L89" s="801"/>
      <c r="M89" s="796"/>
      <c r="N89" s="796"/>
      <c r="O89" s="796"/>
      <c r="P89" s="796"/>
      <c r="Q89" s="796"/>
      <c r="R89" s="796"/>
      <c r="S89" s="796"/>
      <c r="T89" s="796"/>
      <c r="U89" s="796"/>
      <c r="V89" s="796"/>
      <c r="W89" s="796"/>
      <c r="X89" s="796"/>
      <c r="Y89" s="796"/>
      <c r="Z89" s="796"/>
      <c r="AA89" s="796"/>
      <c r="AB89" s="796"/>
      <c r="AC89" s="796"/>
      <c r="AD89" s="796"/>
      <c r="AE89" s="796"/>
      <c r="AF89" s="796"/>
      <c r="AG89" s="796"/>
      <c r="AH89" s="796"/>
      <c r="AI89" s="796"/>
      <c r="AJ89" s="796"/>
      <c r="AK89" s="796"/>
      <c r="AL89" s="796"/>
      <c r="AM89" s="796"/>
      <c r="AN89" s="796"/>
      <c r="AO89" s="796"/>
      <c r="AP89" s="796"/>
      <c r="AQ89" s="796"/>
      <c r="AR89" s="796"/>
      <c r="AS89" s="796"/>
      <c r="AT89" s="796"/>
      <c r="AU89" s="796"/>
    </row>
    <row r="90" spans="1:47" ht="16.5">
      <c r="A90" s="801">
        <v>7</v>
      </c>
      <c r="B90" s="1014">
        <v>0</v>
      </c>
      <c r="C90" s="1014">
        <v>1523</v>
      </c>
      <c r="D90" s="801"/>
      <c r="E90" s="801"/>
      <c r="F90" s="801"/>
      <c r="G90" s="801"/>
      <c r="H90" s="801"/>
      <c r="I90" s="801"/>
      <c r="J90" s="801"/>
      <c r="K90" s="801"/>
      <c r="L90" s="801"/>
      <c r="M90" s="796"/>
      <c r="N90" s="796"/>
      <c r="O90" s="796"/>
      <c r="P90" s="796"/>
      <c r="Q90" s="796"/>
      <c r="R90" s="796"/>
      <c r="S90" s="796"/>
      <c r="T90" s="796"/>
      <c r="U90" s="796"/>
      <c r="V90" s="796"/>
      <c r="W90" s="796"/>
      <c r="X90" s="796"/>
      <c r="Y90" s="796"/>
      <c r="Z90" s="796"/>
      <c r="AA90" s="796"/>
      <c r="AB90" s="796"/>
      <c r="AC90" s="796"/>
      <c r="AD90" s="796"/>
      <c r="AE90" s="796"/>
      <c r="AF90" s="796"/>
      <c r="AG90" s="796"/>
      <c r="AH90" s="796"/>
      <c r="AI90" s="796"/>
      <c r="AJ90" s="796"/>
      <c r="AK90" s="796"/>
      <c r="AL90" s="796"/>
      <c r="AM90" s="796"/>
      <c r="AN90" s="796"/>
      <c r="AO90" s="796"/>
      <c r="AP90" s="796"/>
      <c r="AQ90" s="796"/>
      <c r="AR90" s="796"/>
      <c r="AS90" s="796"/>
      <c r="AT90" s="796"/>
      <c r="AU90" s="796"/>
    </row>
    <row r="91" spans="1:47" ht="16.5">
      <c r="A91" s="801"/>
      <c r="B91" s="1310"/>
      <c r="C91" s="1310"/>
      <c r="D91" s="801"/>
      <c r="E91" s="801"/>
      <c r="F91" s="801"/>
      <c r="G91" s="801"/>
      <c r="H91" s="801"/>
      <c r="I91" s="801"/>
      <c r="J91" s="801"/>
      <c r="K91" s="801"/>
      <c r="L91" s="801"/>
      <c r="M91" s="796"/>
      <c r="N91" s="796"/>
      <c r="O91" s="796"/>
      <c r="P91" s="796"/>
      <c r="Q91" s="796"/>
      <c r="R91" s="796"/>
      <c r="S91" s="796"/>
      <c r="T91" s="796"/>
      <c r="U91" s="796"/>
      <c r="V91" s="796"/>
      <c r="W91" s="796"/>
      <c r="X91" s="796"/>
      <c r="Y91" s="796"/>
      <c r="Z91" s="796"/>
      <c r="AA91" s="796"/>
      <c r="AB91" s="796"/>
      <c r="AC91" s="796"/>
      <c r="AD91" s="796"/>
      <c r="AE91" s="796"/>
      <c r="AF91" s="796"/>
      <c r="AG91" s="796"/>
      <c r="AH91" s="796"/>
      <c r="AI91" s="796"/>
      <c r="AJ91" s="796"/>
      <c r="AK91" s="796"/>
      <c r="AL91" s="796"/>
      <c r="AM91" s="796"/>
      <c r="AN91" s="796"/>
      <c r="AO91" s="796"/>
      <c r="AP91" s="796"/>
      <c r="AQ91" s="796"/>
      <c r="AR91" s="796"/>
      <c r="AS91" s="796"/>
      <c r="AT91" s="796"/>
      <c r="AU91" s="796"/>
    </row>
    <row r="92" spans="1:47" ht="13.5">
      <c r="A92" s="796"/>
      <c r="B92" s="796"/>
      <c r="C92" s="796"/>
      <c r="D92" s="796"/>
      <c r="E92" s="796"/>
      <c r="F92" s="796"/>
      <c r="G92" s="796"/>
      <c r="H92" s="796"/>
      <c r="I92" s="796"/>
      <c r="J92" s="796"/>
      <c r="K92" s="796"/>
      <c r="L92" s="796"/>
      <c r="M92" s="796"/>
      <c r="N92" s="796"/>
      <c r="O92" s="796"/>
      <c r="P92" s="796"/>
      <c r="Q92" s="796"/>
      <c r="R92" s="796"/>
      <c r="S92" s="796"/>
      <c r="T92" s="796"/>
      <c r="U92" s="796"/>
      <c r="V92" s="796"/>
      <c r="W92" s="796"/>
      <c r="X92" s="796"/>
      <c r="Y92" s="796"/>
      <c r="Z92" s="796"/>
      <c r="AA92" s="796"/>
      <c r="AB92" s="796"/>
      <c r="AC92" s="796"/>
      <c r="AD92" s="796"/>
      <c r="AE92" s="796"/>
      <c r="AF92" s="796"/>
      <c r="AG92" s="796"/>
      <c r="AH92" s="796"/>
      <c r="AI92" s="796"/>
      <c r="AJ92" s="796"/>
      <c r="AK92" s="796"/>
      <c r="AL92" s="796"/>
      <c r="AM92" s="796"/>
      <c r="AN92" s="796"/>
      <c r="AO92" s="796"/>
      <c r="AP92" s="796"/>
      <c r="AQ92" s="796"/>
      <c r="AR92" s="796"/>
      <c r="AS92" s="796"/>
      <c r="AT92" s="796"/>
      <c r="AU92" s="796"/>
    </row>
    <row r="93" spans="1:47" ht="13.5">
      <c r="A93" s="796"/>
      <c r="B93" s="796"/>
      <c r="C93" s="796"/>
      <c r="D93" s="796"/>
      <c r="E93" s="796"/>
      <c r="F93" s="796"/>
      <c r="G93" s="796"/>
      <c r="H93" s="796"/>
      <c r="I93" s="796"/>
      <c r="J93" s="796"/>
      <c r="K93" s="796"/>
      <c r="L93" s="796"/>
      <c r="M93" s="796"/>
      <c r="N93" s="796"/>
      <c r="O93" s="796"/>
      <c r="P93" s="796"/>
      <c r="Q93" s="796"/>
      <c r="R93" s="796"/>
      <c r="S93" s="796"/>
      <c r="T93" s="796"/>
      <c r="U93" s="796"/>
      <c r="V93" s="796"/>
      <c r="W93" s="796"/>
      <c r="X93" s="796"/>
      <c r="Y93" s="796"/>
      <c r="Z93" s="796"/>
      <c r="AA93" s="796"/>
      <c r="AB93" s="796"/>
      <c r="AC93" s="796"/>
      <c r="AD93" s="796"/>
      <c r="AE93" s="796"/>
      <c r="AF93" s="796"/>
      <c r="AG93" s="796"/>
      <c r="AH93" s="796"/>
      <c r="AI93" s="796"/>
      <c r="AJ93" s="796"/>
      <c r="AK93" s="796"/>
      <c r="AL93" s="796"/>
      <c r="AM93" s="796"/>
      <c r="AN93" s="796"/>
      <c r="AO93" s="796"/>
      <c r="AP93" s="796"/>
      <c r="AQ93" s="796"/>
      <c r="AR93" s="796"/>
      <c r="AS93" s="796"/>
      <c r="AT93" s="796"/>
      <c r="AU93" s="796"/>
    </row>
    <row r="94" spans="1:47" ht="13.5">
      <c r="A94" s="796"/>
      <c r="B94" s="796"/>
      <c r="C94" s="796"/>
      <c r="D94" s="796"/>
      <c r="E94" s="796"/>
      <c r="F94" s="796"/>
      <c r="G94" s="796"/>
      <c r="H94" s="796"/>
      <c r="I94" s="796"/>
      <c r="J94" s="796"/>
      <c r="K94" s="796"/>
      <c r="L94" s="796"/>
      <c r="M94" s="796"/>
      <c r="N94" s="796"/>
      <c r="O94" s="796"/>
      <c r="P94" s="796"/>
      <c r="Q94" s="796"/>
      <c r="R94" s="796"/>
      <c r="S94" s="796"/>
      <c r="T94" s="796"/>
      <c r="U94" s="796"/>
      <c r="V94" s="796"/>
      <c r="W94" s="796"/>
      <c r="X94" s="796"/>
      <c r="Y94" s="796"/>
      <c r="Z94" s="796"/>
      <c r="AA94" s="796"/>
      <c r="AB94" s="796"/>
      <c r="AC94" s="796"/>
      <c r="AD94" s="796"/>
      <c r="AE94" s="796"/>
      <c r="AF94" s="796"/>
      <c r="AG94" s="796"/>
      <c r="AH94" s="796"/>
      <c r="AI94" s="796"/>
      <c r="AJ94" s="796"/>
      <c r="AK94" s="796"/>
      <c r="AL94" s="796"/>
      <c r="AM94" s="796"/>
      <c r="AN94" s="796"/>
      <c r="AO94" s="796"/>
      <c r="AP94" s="796"/>
      <c r="AQ94" s="796"/>
      <c r="AR94" s="796"/>
      <c r="AS94" s="796"/>
      <c r="AT94" s="796"/>
      <c r="AU94" s="796"/>
    </row>
    <row r="95" spans="1:47" ht="13.5">
      <c r="A95" s="796"/>
      <c r="B95" s="796"/>
      <c r="C95" s="796"/>
      <c r="D95" s="796"/>
      <c r="E95" s="796"/>
      <c r="F95" s="796"/>
      <c r="G95" s="796"/>
      <c r="H95" s="796"/>
      <c r="I95" s="796"/>
      <c r="J95" s="796"/>
      <c r="K95" s="796"/>
      <c r="L95" s="796"/>
      <c r="M95" s="796"/>
      <c r="N95" s="796"/>
      <c r="O95" s="796"/>
      <c r="P95" s="796"/>
      <c r="Q95" s="796"/>
      <c r="R95" s="796"/>
      <c r="S95" s="796"/>
      <c r="T95" s="796"/>
      <c r="U95" s="796"/>
      <c r="V95" s="796"/>
      <c r="W95" s="796"/>
      <c r="X95" s="796"/>
      <c r="Y95" s="796"/>
      <c r="Z95" s="796"/>
      <c r="AA95" s="796"/>
      <c r="AB95" s="796"/>
      <c r="AC95" s="796"/>
      <c r="AD95" s="796"/>
      <c r="AE95" s="796"/>
      <c r="AF95" s="796"/>
      <c r="AG95" s="796"/>
      <c r="AH95" s="796"/>
      <c r="AI95" s="796"/>
      <c r="AJ95" s="796"/>
      <c r="AK95" s="796"/>
      <c r="AL95" s="796"/>
      <c r="AM95" s="796"/>
      <c r="AN95" s="796"/>
      <c r="AO95" s="796"/>
      <c r="AP95" s="796"/>
      <c r="AQ95" s="796"/>
      <c r="AR95" s="796"/>
      <c r="AS95" s="796"/>
      <c r="AT95" s="796"/>
      <c r="AU95" s="796"/>
    </row>
    <row r="96" spans="1:47" ht="13.5">
      <c r="A96" s="796"/>
      <c r="B96" s="796"/>
      <c r="C96" s="796"/>
      <c r="D96" s="796"/>
      <c r="E96" s="796"/>
      <c r="F96" s="796"/>
      <c r="G96" s="796"/>
      <c r="H96" s="796"/>
      <c r="I96" s="796"/>
      <c r="J96" s="796"/>
      <c r="K96" s="796"/>
      <c r="L96" s="796"/>
      <c r="M96" s="796"/>
      <c r="N96" s="796"/>
      <c r="O96" s="796"/>
      <c r="P96" s="796"/>
      <c r="Q96" s="796"/>
      <c r="R96" s="796"/>
      <c r="S96" s="796"/>
      <c r="T96" s="796"/>
      <c r="U96" s="796"/>
      <c r="V96" s="796"/>
      <c r="W96" s="796"/>
      <c r="X96" s="796"/>
      <c r="Y96" s="796"/>
      <c r="Z96" s="796"/>
      <c r="AA96" s="796"/>
      <c r="AB96" s="796"/>
      <c r="AC96" s="796"/>
      <c r="AD96" s="796"/>
      <c r="AE96" s="796"/>
      <c r="AF96" s="796"/>
      <c r="AG96" s="796"/>
      <c r="AH96" s="796"/>
      <c r="AI96" s="796"/>
      <c r="AJ96" s="796"/>
      <c r="AK96" s="796"/>
      <c r="AL96" s="796"/>
      <c r="AM96" s="796"/>
      <c r="AN96" s="796"/>
      <c r="AO96" s="796"/>
      <c r="AP96" s="796"/>
      <c r="AQ96" s="796"/>
      <c r="AR96" s="796"/>
      <c r="AS96" s="796"/>
      <c r="AT96" s="796"/>
      <c r="AU96" s="796"/>
    </row>
    <row r="97" spans="1:47" ht="13.5">
      <c r="A97" s="796"/>
      <c r="B97" s="796"/>
      <c r="C97" s="796"/>
      <c r="D97" s="796"/>
      <c r="E97" s="796"/>
      <c r="F97" s="796"/>
      <c r="G97" s="796"/>
      <c r="H97" s="796"/>
      <c r="I97" s="796"/>
      <c r="J97" s="796"/>
      <c r="K97" s="796"/>
      <c r="L97" s="796"/>
      <c r="M97" s="796"/>
      <c r="N97" s="796"/>
      <c r="O97" s="796"/>
      <c r="P97" s="796"/>
      <c r="Q97" s="796"/>
      <c r="R97" s="796"/>
      <c r="S97" s="796"/>
      <c r="T97" s="796"/>
      <c r="U97" s="796"/>
      <c r="V97" s="796"/>
      <c r="W97" s="796"/>
      <c r="X97" s="796"/>
      <c r="Y97" s="796"/>
      <c r="Z97" s="796"/>
      <c r="AA97" s="796"/>
      <c r="AB97" s="796"/>
      <c r="AC97" s="796"/>
      <c r="AD97" s="796"/>
      <c r="AE97" s="796"/>
      <c r="AF97" s="796"/>
      <c r="AG97" s="796"/>
      <c r="AH97" s="796"/>
      <c r="AI97" s="796"/>
      <c r="AJ97" s="796"/>
      <c r="AK97" s="796"/>
      <c r="AL97" s="796"/>
      <c r="AM97" s="796"/>
      <c r="AN97" s="796"/>
      <c r="AO97" s="796"/>
      <c r="AP97" s="796"/>
      <c r="AQ97" s="796"/>
      <c r="AR97" s="796"/>
      <c r="AS97" s="796"/>
      <c r="AT97" s="796"/>
      <c r="AU97" s="796"/>
    </row>
    <row r="98" spans="1:47" ht="13.5">
      <c r="A98" s="796"/>
      <c r="B98" s="796"/>
      <c r="C98" s="796"/>
      <c r="D98" s="796"/>
      <c r="E98" s="796"/>
      <c r="F98" s="796"/>
      <c r="G98" s="796"/>
      <c r="H98" s="796"/>
      <c r="I98" s="796"/>
      <c r="J98" s="796"/>
      <c r="K98" s="796"/>
      <c r="L98" s="796"/>
      <c r="M98" s="796"/>
      <c r="N98" s="796"/>
      <c r="O98" s="796"/>
      <c r="P98" s="796"/>
      <c r="Q98" s="796"/>
      <c r="R98" s="796"/>
      <c r="S98" s="796"/>
      <c r="T98" s="796"/>
      <c r="U98" s="796"/>
      <c r="V98" s="796"/>
      <c r="W98" s="796"/>
      <c r="X98" s="796"/>
      <c r="Y98" s="796"/>
      <c r="Z98" s="796"/>
      <c r="AA98" s="796"/>
      <c r="AB98" s="796"/>
      <c r="AC98" s="796"/>
      <c r="AD98" s="796"/>
      <c r="AE98" s="796"/>
      <c r="AF98" s="796"/>
      <c r="AG98" s="796"/>
      <c r="AH98" s="796"/>
      <c r="AI98" s="796"/>
      <c r="AJ98" s="796"/>
      <c r="AK98" s="796"/>
      <c r="AL98" s="796"/>
      <c r="AM98" s="796"/>
      <c r="AN98" s="796"/>
      <c r="AO98" s="796"/>
      <c r="AP98" s="796"/>
      <c r="AQ98" s="796"/>
      <c r="AR98" s="796"/>
      <c r="AS98" s="796"/>
      <c r="AT98" s="796"/>
      <c r="AU98" s="796"/>
    </row>
    <row r="99" spans="1:47" ht="13.5">
      <c r="A99" s="796"/>
      <c r="B99" s="796"/>
      <c r="C99" s="796"/>
      <c r="D99" s="796"/>
      <c r="E99" s="796"/>
      <c r="F99" s="796"/>
      <c r="G99" s="796"/>
      <c r="H99" s="796"/>
      <c r="I99" s="796"/>
      <c r="J99" s="796"/>
      <c r="K99" s="796"/>
      <c r="L99" s="796"/>
      <c r="M99" s="796"/>
      <c r="N99" s="796"/>
      <c r="O99" s="796"/>
      <c r="P99" s="796"/>
      <c r="Q99" s="796"/>
      <c r="R99" s="796"/>
      <c r="S99" s="796"/>
      <c r="T99" s="796"/>
      <c r="U99" s="796"/>
      <c r="V99" s="796"/>
      <c r="W99" s="796"/>
      <c r="X99" s="796"/>
      <c r="Y99" s="796"/>
      <c r="Z99" s="796"/>
      <c r="AA99" s="796"/>
      <c r="AB99" s="796"/>
      <c r="AC99" s="796"/>
      <c r="AD99" s="796"/>
      <c r="AE99" s="796"/>
      <c r="AF99" s="796"/>
      <c r="AG99" s="796"/>
      <c r="AH99" s="796"/>
      <c r="AI99" s="796"/>
      <c r="AJ99" s="796"/>
      <c r="AK99" s="796"/>
      <c r="AL99" s="796"/>
      <c r="AM99" s="796"/>
      <c r="AN99" s="796"/>
      <c r="AO99" s="796"/>
      <c r="AP99" s="796"/>
      <c r="AQ99" s="796"/>
      <c r="AR99" s="796"/>
      <c r="AS99" s="796"/>
      <c r="AT99" s="796"/>
      <c r="AU99" s="796"/>
    </row>
    <row r="100" spans="1:47" ht="13.5">
      <c r="A100" s="796"/>
      <c r="B100" s="796"/>
      <c r="C100" s="796"/>
      <c r="D100" s="796"/>
      <c r="E100" s="796"/>
      <c r="F100" s="796"/>
      <c r="G100" s="796"/>
      <c r="H100" s="796"/>
      <c r="I100" s="796"/>
      <c r="J100" s="796"/>
      <c r="K100" s="796"/>
      <c r="L100" s="796"/>
      <c r="M100" s="796"/>
      <c r="N100" s="796"/>
      <c r="O100" s="796"/>
      <c r="P100" s="796"/>
      <c r="Q100" s="796"/>
      <c r="R100" s="796"/>
      <c r="S100" s="796"/>
      <c r="T100" s="796"/>
      <c r="U100" s="796"/>
      <c r="V100" s="796"/>
      <c r="W100" s="796"/>
      <c r="X100" s="796"/>
      <c r="Y100" s="796"/>
      <c r="Z100" s="796"/>
      <c r="AA100" s="796"/>
      <c r="AB100" s="796"/>
      <c r="AC100" s="796"/>
      <c r="AD100" s="796"/>
      <c r="AE100" s="796"/>
      <c r="AF100" s="796"/>
      <c r="AG100" s="796"/>
      <c r="AH100" s="796"/>
      <c r="AI100" s="796"/>
      <c r="AJ100" s="796"/>
      <c r="AK100" s="796"/>
      <c r="AL100" s="796"/>
      <c r="AM100" s="796"/>
      <c r="AN100" s="796"/>
      <c r="AO100" s="796"/>
      <c r="AP100" s="796"/>
      <c r="AQ100" s="796"/>
      <c r="AR100" s="796"/>
      <c r="AS100" s="796"/>
      <c r="AT100" s="796"/>
      <c r="AU100" s="796"/>
    </row>
    <row r="101" spans="1:47" ht="13.5">
      <c r="A101" s="796"/>
      <c r="B101" s="796"/>
      <c r="C101" s="796"/>
      <c r="D101" s="796"/>
      <c r="E101" s="796"/>
      <c r="F101" s="796"/>
      <c r="G101" s="796"/>
      <c r="H101" s="796"/>
      <c r="I101" s="796"/>
      <c r="J101" s="796"/>
      <c r="K101" s="796"/>
      <c r="L101" s="796"/>
      <c r="M101" s="796"/>
      <c r="N101" s="796"/>
      <c r="O101" s="796"/>
      <c r="P101" s="796"/>
      <c r="Q101" s="796"/>
      <c r="R101" s="796"/>
      <c r="S101" s="796"/>
      <c r="T101" s="796"/>
      <c r="U101" s="796"/>
      <c r="V101" s="796"/>
      <c r="W101" s="796"/>
      <c r="X101" s="796"/>
      <c r="Y101" s="796"/>
      <c r="Z101" s="796"/>
      <c r="AA101" s="796"/>
      <c r="AB101" s="796"/>
      <c r="AC101" s="796"/>
      <c r="AD101" s="796"/>
      <c r="AE101" s="796"/>
      <c r="AF101" s="796"/>
      <c r="AG101" s="796"/>
      <c r="AH101" s="796"/>
      <c r="AI101" s="796"/>
      <c r="AJ101" s="796"/>
      <c r="AK101" s="796"/>
      <c r="AL101" s="796"/>
      <c r="AM101" s="796"/>
      <c r="AN101" s="796"/>
      <c r="AO101" s="796"/>
      <c r="AP101" s="796"/>
      <c r="AQ101" s="796"/>
      <c r="AR101" s="796"/>
      <c r="AS101" s="796"/>
      <c r="AT101" s="796"/>
      <c r="AU101" s="796"/>
    </row>
    <row r="102" spans="1:47" ht="13.5">
      <c r="A102" s="796"/>
      <c r="B102" s="796"/>
      <c r="C102" s="796"/>
      <c r="D102" s="796"/>
      <c r="E102" s="796"/>
      <c r="F102" s="796"/>
      <c r="G102" s="796"/>
      <c r="H102" s="796"/>
      <c r="I102" s="796"/>
      <c r="J102" s="796"/>
      <c r="K102" s="796"/>
      <c r="L102" s="796"/>
      <c r="M102" s="796"/>
      <c r="N102" s="796"/>
      <c r="O102" s="796"/>
      <c r="P102" s="796"/>
      <c r="Q102" s="796"/>
      <c r="R102" s="796"/>
      <c r="S102" s="796"/>
      <c r="T102" s="796"/>
      <c r="U102" s="796"/>
      <c r="V102" s="796"/>
      <c r="W102" s="796"/>
      <c r="X102" s="796"/>
      <c r="Y102" s="796"/>
      <c r="Z102" s="796"/>
      <c r="AA102" s="796"/>
      <c r="AB102" s="796"/>
      <c r="AC102" s="796"/>
      <c r="AD102" s="796"/>
      <c r="AE102" s="796"/>
      <c r="AF102" s="796"/>
      <c r="AG102" s="796"/>
      <c r="AH102" s="796"/>
      <c r="AI102" s="796"/>
      <c r="AJ102" s="796"/>
      <c r="AK102" s="796"/>
      <c r="AL102" s="796"/>
      <c r="AM102" s="796"/>
      <c r="AN102" s="796"/>
      <c r="AO102" s="796"/>
      <c r="AP102" s="796"/>
      <c r="AQ102" s="796"/>
      <c r="AR102" s="796"/>
      <c r="AS102" s="796"/>
      <c r="AT102" s="796"/>
      <c r="AU102" s="796"/>
    </row>
    <row r="103" spans="1:47" ht="13.5">
      <c r="A103" s="796"/>
      <c r="B103" s="796"/>
      <c r="C103" s="796"/>
      <c r="D103" s="796"/>
      <c r="E103" s="796"/>
      <c r="F103" s="796"/>
      <c r="G103" s="796"/>
      <c r="H103" s="796"/>
      <c r="I103" s="796"/>
      <c r="J103" s="796"/>
      <c r="K103" s="796"/>
      <c r="L103" s="796"/>
      <c r="M103" s="796"/>
      <c r="N103" s="796"/>
      <c r="O103" s="796"/>
      <c r="P103" s="796"/>
      <c r="Q103" s="796"/>
      <c r="R103" s="796"/>
      <c r="S103" s="796"/>
      <c r="T103" s="796"/>
      <c r="U103" s="796"/>
      <c r="V103" s="796"/>
      <c r="W103" s="796"/>
      <c r="X103" s="796"/>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row>
    <row r="104" spans="1:47" ht="13.5">
      <c r="A104" s="796"/>
      <c r="B104" s="796"/>
      <c r="C104" s="796"/>
      <c r="D104" s="796"/>
      <c r="E104" s="796"/>
      <c r="F104" s="796"/>
      <c r="G104" s="796"/>
      <c r="H104" s="796"/>
      <c r="I104" s="796"/>
      <c r="J104" s="796"/>
      <c r="K104" s="796"/>
      <c r="L104" s="796"/>
      <c r="M104" s="796"/>
      <c r="N104" s="796"/>
      <c r="O104" s="796"/>
      <c r="P104" s="796"/>
      <c r="Q104" s="796"/>
      <c r="R104" s="796"/>
      <c r="S104" s="796"/>
      <c r="T104" s="796"/>
      <c r="U104" s="796"/>
      <c r="V104" s="796"/>
      <c r="W104" s="796"/>
      <c r="X104" s="796"/>
      <c r="Y104" s="796"/>
      <c r="Z104" s="796"/>
      <c r="AA104" s="796"/>
      <c r="AB104" s="796"/>
      <c r="AC104" s="796"/>
      <c r="AD104" s="796"/>
      <c r="AE104" s="796"/>
      <c r="AF104" s="796"/>
      <c r="AG104" s="796"/>
      <c r="AH104" s="796"/>
      <c r="AI104" s="796"/>
      <c r="AJ104" s="796"/>
      <c r="AK104" s="796"/>
      <c r="AL104" s="796"/>
      <c r="AM104" s="796"/>
      <c r="AN104" s="796"/>
      <c r="AO104" s="796"/>
      <c r="AP104" s="796"/>
      <c r="AQ104" s="796"/>
      <c r="AR104" s="796"/>
      <c r="AS104" s="796"/>
      <c r="AT104" s="796"/>
      <c r="AU104" s="796"/>
    </row>
    <row r="105" spans="1:47" ht="13.5">
      <c r="A105" s="796"/>
      <c r="B105" s="796"/>
      <c r="C105" s="796"/>
      <c r="D105" s="796"/>
      <c r="E105" s="796"/>
      <c r="F105" s="796"/>
      <c r="G105" s="796"/>
      <c r="H105" s="796"/>
      <c r="I105" s="796"/>
      <c r="J105" s="796"/>
      <c r="K105" s="796"/>
      <c r="L105" s="796"/>
      <c r="M105" s="796"/>
      <c r="N105" s="796"/>
      <c r="O105" s="796"/>
      <c r="P105" s="796"/>
      <c r="Q105" s="796"/>
      <c r="R105" s="796"/>
      <c r="S105" s="796"/>
      <c r="T105" s="796"/>
      <c r="U105" s="796"/>
      <c r="V105" s="796"/>
      <c r="W105" s="796"/>
      <c r="X105" s="796"/>
      <c r="Y105" s="796"/>
      <c r="Z105" s="796"/>
      <c r="AA105" s="796"/>
      <c r="AB105" s="796"/>
      <c r="AC105" s="796"/>
      <c r="AD105" s="796"/>
      <c r="AE105" s="796"/>
      <c r="AF105" s="796"/>
      <c r="AG105" s="796"/>
      <c r="AH105" s="796"/>
      <c r="AI105" s="796"/>
      <c r="AJ105" s="796"/>
      <c r="AK105" s="796"/>
      <c r="AL105" s="796"/>
      <c r="AM105" s="796"/>
      <c r="AN105" s="796"/>
      <c r="AO105" s="796"/>
      <c r="AP105" s="796"/>
      <c r="AQ105" s="796"/>
      <c r="AR105" s="796"/>
      <c r="AS105" s="796"/>
      <c r="AT105" s="796"/>
      <c r="AU105" s="796"/>
    </row>
    <row r="106" spans="1:47" ht="13.5">
      <c r="A106" s="796"/>
      <c r="B106" s="796"/>
      <c r="C106" s="796"/>
      <c r="D106" s="796"/>
      <c r="E106" s="796"/>
      <c r="F106" s="796"/>
      <c r="G106" s="796"/>
      <c r="H106" s="796"/>
      <c r="I106" s="796"/>
      <c r="J106" s="796"/>
      <c r="K106" s="796"/>
      <c r="L106" s="796"/>
      <c r="M106" s="796"/>
      <c r="N106" s="796"/>
      <c r="O106" s="796"/>
      <c r="P106" s="796"/>
      <c r="Q106" s="796"/>
      <c r="R106" s="796"/>
      <c r="S106" s="796"/>
      <c r="T106" s="796"/>
      <c r="U106" s="796"/>
      <c r="V106" s="796"/>
      <c r="W106" s="796"/>
      <c r="X106" s="796"/>
      <c r="Y106" s="796"/>
      <c r="Z106" s="796"/>
      <c r="AA106" s="796"/>
      <c r="AB106" s="796"/>
      <c r="AC106" s="796"/>
      <c r="AD106" s="796"/>
      <c r="AE106" s="796"/>
      <c r="AF106" s="796"/>
      <c r="AG106" s="796"/>
      <c r="AH106" s="796"/>
      <c r="AI106" s="796"/>
      <c r="AJ106" s="796"/>
      <c r="AK106" s="796"/>
      <c r="AL106" s="796"/>
      <c r="AM106" s="796"/>
      <c r="AN106" s="796"/>
      <c r="AO106" s="796"/>
      <c r="AP106" s="796"/>
      <c r="AQ106" s="796"/>
      <c r="AR106" s="796"/>
      <c r="AS106" s="796"/>
      <c r="AT106" s="796"/>
      <c r="AU106" s="796"/>
    </row>
    <row r="107" spans="1:47" ht="13.5">
      <c r="A107" s="796"/>
      <c r="B107" s="796"/>
      <c r="C107" s="796"/>
      <c r="D107" s="796"/>
      <c r="E107" s="796"/>
      <c r="F107" s="796"/>
      <c r="G107" s="796"/>
      <c r="H107" s="796"/>
      <c r="I107" s="796"/>
      <c r="J107" s="796"/>
      <c r="K107" s="796"/>
      <c r="L107" s="796"/>
      <c r="M107" s="796"/>
      <c r="N107" s="796"/>
      <c r="O107" s="796"/>
      <c r="P107" s="796"/>
      <c r="Q107" s="796"/>
      <c r="R107" s="796"/>
      <c r="S107" s="796"/>
      <c r="T107" s="796"/>
      <c r="U107" s="796"/>
      <c r="V107" s="796"/>
      <c r="W107" s="796"/>
      <c r="X107" s="796"/>
      <c r="Y107" s="796"/>
      <c r="Z107" s="796"/>
      <c r="AA107" s="796"/>
      <c r="AB107" s="796"/>
      <c r="AC107" s="796"/>
      <c r="AD107" s="796"/>
      <c r="AE107" s="796"/>
      <c r="AF107" s="796"/>
      <c r="AG107" s="796"/>
      <c r="AH107" s="796"/>
      <c r="AI107" s="796"/>
      <c r="AJ107" s="796"/>
      <c r="AK107" s="796"/>
      <c r="AL107" s="796"/>
      <c r="AM107" s="796"/>
      <c r="AN107" s="796"/>
      <c r="AO107" s="796"/>
      <c r="AP107" s="796"/>
      <c r="AQ107" s="796"/>
      <c r="AR107" s="796"/>
      <c r="AS107" s="796"/>
      <c r="AT107" s="796"/>
      <c r="AU107" s="796"/>
    </row>
    <row r="108" spans="1:47" ht="13.5">
      <c r="A108" s="796"/>
      <c r="B108" s="796"/>
      <c r="C108" s="796"/>
      <c r="D108" s="796"/>
      <c r="E108" s="796"/>
      <c r="F108" s="796"/>
      <c r="G108" s="796"/>
      <c r="H108" s="796"/>
      <c r="I108" s="796"/>
      <c r="J108" s="796"/>
      <c r="K108" s="796"/>
      <c r="L108" s="796"/>
      <c r="M108" s="796"/>
      <c r="N108" s="796"/>
      <c r="O108" s="796"/>
      <c r="P108" s="796"/>
      <c r="Q108" s="796"/>
      <c r="R108" s="796"/>
      <c r="S108" s="796"/>
      <c r="T108" s="796"/>
      <c r="U108" s="796"/>
      <c r="V108" s="796"/>
      <c r="W108" s="796"/>
      <c r="X108" s="796"/>
      <c r="Y108" s="796"/>
      <c r="Z108" s="796"/>
      <c r="AA108" s="796"/>
      <c r="AB108" s="796"/>
      <c r="AC108" s="796"/>
      <c r="AD108" s="796"/>
      <c r="AE108" s="796"/>
      <c r="AF108" s="796"/>
      <c r="AG108" s="796"/>
      <c r="AH108" s="796"/>
      <c r="AI108" s="796"/>
      <c r="AJ108" s="796"/>
      <c r="AK108" s="796"/>
      <c r="AL108" s="796"/>
      <c r="AM108" s="796"/>
      <c r="AN108" s="796"/>
      <c r="AO108" s="796"/>
      <c r="AP108" s="796"/>
      <c r="AQ108" s="796"/>
      <c r="AR108" s="796"/>
      <c r="AS108" s="796"/>
      <c r="AT108" s="796"/>
      <c r="AU108" s="796"/>
    </row>
    <row r="109" spans="1:47" ht="13.5">
      <c r="A109" s="796"/>
      <c r="B109" s="796"/>
      <c r="C109" s="796"/>
      <c r="D109" s="796"/>
      <c r="E109" s="796"/>
      <c r="F109" s="796"/>
      <c r="G109" s="796"/>
      <c r="H109" s="796"/>
      <c r="I109" s="796"/>
      <c r="J109" s="796"/>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6"/>
      <c r="AL109" s="796"/>
      <c r="AM109" s="796"/>
      <c r="AN109" s="796"/>
      <c r="AO109" s="796"/>
      <c r="AP109" s="796"/>
      <c r="AQ109" s="796"/>
      <c r="AR109" s="796"/>
      <c r="AS109" s="796"/>
      <c r="AT109" s="796"/>
      <c r="AU109" s="796"/>
    </row>
    <row r="110" spans="1:47" ht="13.5">
      <c r="A110" s="796"/>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row>
    <row r="111" spans="1:47" ht="13.5">
      <c r="A111" s="796"/>
      <c r="B111" s="796"/>
      <c r="C111" s="796"/>
      <c r="D111" s="796"/>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796"/>
      <c r="AA111" s="796"/>
      <c r="AB111" s="796"/>
      <c r="AC111" s="796"/>
      <c r="AD111" s="796"/>
      <c r="AE111" s="796"/>
      <c r="AF111" s="796"/>
      <c r="AG111" s="796"/>
      <c r="AH111" s="796"/>
      <c r="AI111" s="796"/>
      <c r="AJ111" s="796"/>
      <c r="AK111" s="796"/>
      <c r="AL111" s="796"/>
      <c r="AM111" s="796"/>
      <c r="AN111" s="796"/>
      <c r="AO111" s="796"/>
      <c r="AP111" s="796"/>
      <c r="AQ111" s="796"/>
      <c r="AR111" s="796"/>
      <c r="AS111" s="796"/>
      <c r="AT111" s="796"/>
      <c r="AU111" s="796"/>
    </row>
    <row r="112" spans="1:47" ht="13.5">
      <c r="A112" s="796"/>
      <c r="B112" s="796"/>
      <c r="C112" s="796"/>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6"/>
      <c r="AA112" s="796"/>
      <c r="AB112" s="796"/>
      <c r="AC112" s="796"/>
      <c r="AD112" s="796"/>
      <c r="AE112" s="796"/>
      <c r="AF112" s="796"/>
      <c r="AG112" s="796"/>
      <c r="AH112" s="796"/>
      <c r="AI112" s="796"/>
      <c r="AJ112" s="796"/>
      <c r="AK112" s="796"/>
      <c r="AL112" s="796"/>
      <c r="AM112" s="796"/>
      <c r="AN112" s="796"/>
      <c r="AO112" s="796"/>
      <c r="AP112" s="796"/>
      <c r="AQ112" s="796"/>
      <c r="AR112" s="796"/>
      <c r="AS112" s="796"/>
      <c r="AT112" s="796"/>
      <c r="AU112" s="796"/>
    </row>
    <row r="113" spans="1:47" ht="13.5">
      <c r="A113" s="796"/>
      <c r="B113" s="796"/>
      <c r="C113" s="796"/>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6"/>
      <c r="AA113" s="796"/>
      <c r="AB113" s="796"/>
      <c r="AC113" s="796"/>
      <c r="AD113" s="796"/>
      <c r="AE113" s="796"/>
      <c r="AF113" s="796"/>
      <c r="AG113" s="796"/>
      <c r="AH113" s="796"/>
      <c r="AI113" s="796"/>
      <c r="AJ113" s="796"/>
      <c r="AK113" s="796"/>
      <c r="AL113" s="796"/>
      <c r="AM113" s="796"/>
      <c r="AN113" s="796"/>
      <c r="AO113" s="796"/>
      <c r="AP113" s="796"/>
      <c r="AQ113" s="796"/>
      <c r="AR113" s="796"/>
      <c r="AS113" s="796"/>
      <c r="AT113" s="796"/>
      <c r="AU113" s="796"/>
    </row>
    <row r="114" spans="1:47" ht="13.5">
      <c r="A114" s="796"/>
      <c r="B114" s="796"/>
      <c r="C114" s="796"/>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6"/>
      <c r="AA114" s="796"/>
      <c r="AB114" s="796"/>
      <c r="AC114" s="796"/>
      <c r="AD114" s="796"/>
      <c r="AE114" s="796"/>
      <c r="AF114" s="796"/>
      <c r="AG114" s="796"/>
      <c r="AH114" s="796"/>
      <c r="AI114" s="796"/>
      <c r="AJ114" s="796"/>
      <c r="AK114" s="796"/>
      <c r="AL114" s="796"/>
      <c r="AM114" s="796"/>
      <c r="AN114" s="796"/>
      <c r="AO114" s="796"/>
      <c r="AP114" s="796"/>
      <c r="AQ114" s="796"/>
      <c r="AR114" s="796"/>
      <c r="AS114" s="796"/>
      <c r="AT114" s="796"/>
      <c r="AU114" s="796"/>
    </row>
    <row r="115" spans="1:47" ht="13.5">
      <c r="A115" s="796"/>
      <c r="B115" s="796"/>
      <c r="C115" s="796"/>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6"/>
      <c r="AA115" s="796"/>
      <c r="AB115" s="796"/>
      <c r="AC115" s="796"/>
      <c r="AD115" s="796"/>
      <c r="AE115" s="796"/>
      <c r="AF115" s="796"/>
      <c r="AG115" s="796"/>
      <c r="AH115" s="796"/>
      <c r="AI115" s="796"/>
      <c r="AJ115" s="796"/>
      <c r="AK115" s="796"/>
      <c r="AL115" s="796"/>
      <c r="AM115" s="796"/>
      <c r="AN115" s="796"/>
      <c r="AO115" s="796"/>
      <c r="AP115" s="796"/>
      <c r="AQ115" s="796"/>
      <c r="AR115" s="796"/>
      <c r="AS115" s="796"/>
      <c r="AT115" s="796"/>
      <c r="AU115" s="796"/>
    </row>
    <row r="116" spans="1:47" ht="13.5">
      <c r="A116" s="796"/>
      <c r="B116" s="796"/>
      <c r="C116" s="796"/>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c r="AD116" s="796"/>
      <c r="AE116" s="796"/>
      <c r="AF116" s="796"/>
      <c r="AG116" s="796"/>
      <c r="AH116" s="796"/>
      <c r="AI116" s="796"/>
      <c r="AJ116" s="796"/>
      <c r="AK116" s="796"/>
      <c r="AL116" s="796"/>
      <c r="AM116" s="796"/>
      <c r="AN116" s="796"/>
      <c r="AO116" s="796"/>
      <c r="AP116" s="796"/>
      <c r="AQ116" s="796"/>
      <c r="AR116" s="796"/>
      <c r="AS116" s="796"/>
      <c r="AT116" s="796"/>
      <c r="AU116" s="796"/>
    </row>
    <row r="117" spans="1:47" ht="13.5">
      <c r="A117" s="796"/>
      <c r="B117" s="796"/>
      <c r="C117" s="796"/>
      <c r="D117" s="796"/>
      <c r="E117" s="796"/>
      <c r="F117" s="796"/>
      <c r="G117" s="796"/>
      <c r="H117" s="796"/>
      <c r="I117" s="796"/>
      <c r="J117" s="796"/>
      <c r="K117" s="796"/>
      <c r="L117" s="796"/>
      <c r="M117" s="796"/>
      <c r="N117" s="796"/>
      <c r="O117" s="796"/>
      <c r="P117" s="796"/>
      <c r="Q117" s="796"/>
      <c r="R117" s="796"/>
      <c r="S117" s="796"/>
      <c r="T117" s="796"/>
      <c r="U117" s="796"/>
      <c r="V117" s="796"/>
      <c r="W117" s="796"/>
      <c r="X117" s="796"/>
      <c r="Y117" s="796"/>
      <c r="Z117" s="796"/>
      <c r="AA117" s="796"/>
      <c r="AB117" s="796"/>
      <c r="AC117" s="796"/>
      <c r="AD117" s="796"/>
      <c r="AE117" s="796"/>
      <c r="AF117" s="796"/>
      <c r="AG117" s="796"/>
      <c r="AH117" s="796"/>
      <c r="AI117" s="796"/>
      <c r="AJ117" s="796"/>
      <c r="AK117" s="796"/>
      <c r="AL117" s="796"/>
      <c r="AM117" s="796"/>
      <c r="AN117" s="796"/>
      <c r="AO117" s="796"/>
      <c r="AP117" s="796"/>
      <c r="AQ117" s="796"/>
      <c r="AR117" s="796"/>
      <c r="AS117" s="796"/>
      <c r="AT117" s="796"/>
      <c r="AU117" s="796"/>
    </row>
    <row r="118" spans="1:47" ht="13.5">
      <c r="A118" s="796"/>
      <c r="B118" s="796"/>
      <c r="C118" s="796"/>
      <c r="D118" s="796"/>
      <c r="E118" s="796"/>
      <c r="F118" s="796"/>
      <c r="G118" s="796"/>
      <c r="H118" s="796"/>
      <c r="I118" s="796"/>
      <c r="J118" s="796"/>
      <c r="K118" s="796"/>
      <c r="L118" s="796"/>
      <c r="M118" s="796"/>
      <c r="N118" s="796"/>
      <c r="O118" s="796"/>
      <c r="P118" s="796"/>
      <c r="Q118" s="796"/>
      <c r="R118" s="796"/>
      <c r="S118" s="796"/>
      <c r="T118" s="796"/>
      <c r="U118" s="796"/>
      <c r="V118" s="796"/>
      <c r="W118" s="796"/>
      <c r="X118" s="796"/>
      <c r="Y118" s="796"/>
      <c r="Z118" s="796"/>
      <c r="AA118" s="796"/>
      <c r="AB118" s="796"/>
      <c r="AC118" s="796"/>
      <c r="AD118" s="796"/>
      <c r="AE118" s="796"/>
      <c r="AF118" s="796"/>
      <c r="AG118" s="796"/>
      <c r="AH118" s="796"/>
      <c r="AI118" s="796"/>
      <c r="AJ118" s="796"/>
      <c r="AK118" s="796"/>
      <c r="AL118" s="796"/>
      <c r="AM118" s="796"/>
      <c r="AN118" s="796"/>
      <c r="AO118" s="796"/>
      <c r="AP118" s="796"/>
      <c r="AQ118" s="796"/>
      <c r="AR118" s="796"/>
      <c r="AS118" s="796"/>
      <c r="AT118" s="796"/>
      <c r="AU118" s="796"/>
    </row>
    <row r="119" spans="1:47" ht="13.5">
      <c r="A119" s="796"/>
      <c r="B119" s="796"/>
      <c r="C119" s="796"/>
      <c r="D119" s="796"/>
      <c r="E119" s="796"/>
      <c r="F119" s="796"/>
      <c r="G119" s="796"/>
      <c r="H119" s="796"/>
      <c r="I119" s="796"/>
      <c r="J119" s="796"/>
      <c r="K119" s="796"/>
      <c r="L119" s="796"/>
      <c r="M119" s="796"/>
      <c r="N119" s="796"/>
      <c r="O119" s="796"/>
      <c r="P119" s="796"/>
      <c r="Q119" s="796"/>
      <c r="R119" s="796"/>
      <c r="S119" s="796"/>
      <c r="T119" s="796"/>
      <c r="U119" s="796"/>
      <c r="V119" s="796"/>
      <c r="W119" s="796"/>
      <c r="X119" s="796"/>
      <c r="Y119" s="796"/>
      <c r="Z119" s="796"/>
      <c r="AA119" s="796"/>
      <c r="AB119" s="796"/>
      <c r="AC119" s="796"/>
      <c r="AD119" s="796"/>
      <c r="AE119" s="796"/>
      <c r="AF119" s="796"/>
      <c r="AG119" s="796"/>
      <c r="AH119" s="796"/>
      <c r="AI119" s="796"/>
      <c r="AJ119" s="796"/>
      <c r="AK119" s="796"/>
      <c r="AL119" s="796"/>
      <c r="AM119" s="796"/>
      <c r="AN119" s="796"/>
      <c r="AO119" s="796"/>
      <c r="AP119" s="796"/>
      <c r="AQ119" s="796"/>
      <c r="AR119" s="796"/>
      <c r="AS119" s="796"/>
      <c r="AT119" s="796"/>
      <c r="AU119" s="796"/>
    </row>
    <row r="120" spans="1:47" ht="13.5">
      <c r="A120" s="796"/>
      <c r="B120" s="796"/>
      <c r="C120" s="796"/>
      <c r="D120" s="796"/>
      <c r="E120" s="796"/>
      <c r="F120" s="796"/>
      <c r="G120" s="796"/>
      <c r="H120" s="796"/>
      <c r="I120" s="796"/>
      <c r="J120" s="796"/>
      <c r="K120" s="796"/>
      <c r="L120" s="796"/>
      <c r="M120" s="796"/>
      <c r="N120" s="796"/>
      <c r="O120" s="796"/>
      <c r="P120" s="796"/>
      <c r="Q120" s="796"/>
      <c r="R120" s="796"/>
      <c r="S120" s="796"/>
      <c r="T120" s="796"/>
      <c r="U120" s="796"/>
      <c r="V120" s="796"/>
      <c r="W120" s="796"/>
      <c r="X120" s="796"/>
      <c r="Y120" s="796"/>
      <c r="Z120" s="796"/>
      <c r="AA120" s="796"/>
      <c r="AB120" s="796"/>
      <c r="AC120" s="796"/>
      <c r="AD120" s="796"/>
      <c r="AE120" s="796"/>
      <c r="AF120" s="796"/>
      <c r="AG120" s="796"/>
      <c r="AH120" s="796"/>
      <c r="AI120" s="796"/>
      <c r="AJ120" s="796"/>
      <c r="AK120" s="796"/>
      <c r="AL120" s="796"/>
      <c r="AM120" s="796"/>
      <c r="AN120" s="796"/>
      <c r="AO120" s="796"/>
      <c r="AP120" s="796"/>
      <c r="AQ120" s="796"/>
      <c r="AR120" s="796"/>
      <c r="AS120" s="796"/>
      <c r="AT120" s="796"/>
      <c r="AU120" s="796"/>
    </row>
    <row r="121" spans="1:47" ht="13.5">
      <c r="A121" s="796"/>
      <c r="B121" s="796"/>
      <c r="C121" s="796"/>
      <c r="D121" s="796"/>
      <c r="E121" s="796"/>
      <c r="F121" s="796"/>
      <c r="G121" s="796"/>
      <c r="H121" s="796"/>
      <c r="I121" s="796"/>
      <c r="J121" s="796"/>
      <c r="K121" s="796"/>
      <c r="L121" s="796"/>
      <c r="M121" s="796"/>
      <c r="N121" s="796"/>
      <c r="O121" s="796"/>
      <c r="P121" s="796"/>
      <c r="Q121" s="796"/>
      <c r="R121" s="796"/>
      <c r="S121" s="796"/>
      <c r="T121" s="796"/>
      <c r="U121" s="796"/>
      <c r="V121" s="796"/>
      <c r="W121" s="796"/>
      <c r="X121" s="796"/>
      <c r="Y121" s="796"/>
      <c r="Z121" s="796"/>
      <c r="AA121" s="796"/>
      <c r="AB121" s="796"/>
      <c r="AC121" s="796"/>
      <c r="AD121" s="796"/>
      <c r="AE121" s="796"/>
      <c r="AF121" s="796"/>
      <c r="AG121" s="796"/>
      <c r="AH121" s="796"/>
      <c r="AI121" s="796"/>
      <c r="AJ121" s="796"/>
      <c r="AK121" s="796"/>
      <c r="AL121" s="796"/>
      <c r="AM121" s="796"/>
      <c r="AN121" s="796"/>
      <c r="AO121" s="796"/>
      <c r="AP121" s="796"/>
      <c r="AQ121" s="796"/>
      <c r="AR121" s="796"/>
      <c r="AS121" s="796"/>
      <c r="AT121" s="796"/>
      <c r="AU121" s="796"/>
    </row>
    <row r="122" spans="1:47" ht="13.5">
      <c r="A122" s="796"/>
      <c r="B122" s="796"/>
      <c r="C122" s="796"/>
      <c r="D122" s="796"/>
      <c r="E122" s="796"/>
      <c r="F122" s="796"/>
      <c r="G122" s="796"/>
      <c r="H122" s="796"/>
      <c r="I122" s="796"/>
      <c r="J122" s="796"/>
      <c r="K122" s="796"/>
      <c r="L122" s="796"/>
      <c r="M122" s="796"/>
      <c r="N122" s="796"/>
      <c r="O122" s="796"/>
      <c r="P122" s="796"/>
      <c r="Q122" s="796"/>
      <c r="R122" s="796"/>
      <c r="S122" s="796"/>
      <c r="T122" s="796"/>
      <c r="U122" s="796"/>
      <c r="V122" s="796"/>
      <c r="W122" s="796"/>
      <c r="X122" s="796"/>
      <c r="Y122" s="796"/>
      <c r="Z122" s="796"/>
      <c r="AA122" s="796"/>
      <c r="AB122" s="796"/>
      <c r="AC122" s="796"/>
      <c r="AD122" s="796"/>
      <c r="AE122" s="796"/>
      <c r="AF122" s="796"/>
      <c r="AG122" s="796"/>
      <c r="AH122" s="796"/>
      <c r="AI122" s="796"/>
      <c r="AJ122" s="796"/>
      <c r="AK122" s="796"/>
      <c r="AL122" s="796"/>
      <c r="AM122" s="796"/>
      <c r="AN122" s="796"/>
      <c r="AO122" s="796"/>
      <c r="AP122" s="796"/>
      <c r="AQ122" s="796"/>
      <c r="AR122" s="796"/>
      <c r="AS122" s="796"/>
      <c r="AT122" s="796"/>
      <c r="AU122" s="796"/>
    </row>
    <row r="123" spans="1:47" ht="13.5">
      <c r="A123" s="796"/>
      <c r="B123" s="796"/>
      <c r="C123" s="796"/>
      <c r="D123" s="796"/>
      <c r="E123" s="796"/>
      <c r="F123" s="796"/>
      <c r="G123" s="796"/>
      <c r="H123" s="796"/>
      <c r="I123" s="796"/>
      <c r="J123" s="796"/>
      <c r="K123" s="796"/>
      <c r="L123" s="796"/>
      <c r="M123" s="796"/>
      <c r="N123" s="796"/>
      <c r="O123" s="796"/>
      <c r="P123" s="796"/>
      <c r="Q123" s="796"/>
      <c r="R123" s="796"/>
      <c r="S123" s="796"/>
      <c r="T123" s="796"/>
      <c r="U123" s="796"/>
      <c r="V123" s="796"/>
      <c r="W123" s="796"/>
      <c r="X123" s="796"/>
      <c r="Y123" s="796"/>
      <c r="Z123" s="796"/>
      <c r="AA123" s="796"/>
      <c r="AB123" s="796"/>
      <c r="AC123" s="796"/>
      <c r="AD123" s="796"/>
      <c r="AE123" s="796"/>
      <c r="AF123" s="796"/>
      <c r="AG123" s="796"/>
      <c r="AH123" s="796"/>
      <c r="AI123" s="796"/>
      <c r="AJ123" s="796"/>
      <c r="AK123" s="796"/>
      <c r="AL123" s="796"/>
      <c r="AM123" s="796"/>
      <c r="AN123" s="796"/>
      <c r="AO123" s="796"/>
      <c r="AP123" s="796"/>
      <c r="AQ123" s="796"/>
      <c r="AR123" s="796"/>
      <c r="AS123" s="796"/>
      <c r="AT123" s="796"/>
      <c r="AU123" s="796"/>
    </row>
    <row r="124" spans="1:47" ht="13.5">
      <c r="A124" s="796"/>
      <c r="B124" s="796"/>
      <c r="C124" s="796"/>
      <c r="D124" s="796"/>
      <c r="E124" s="796"/>
      <c r="F124" s="796"/>
      <c r="G124" s="796"/>
      <c r="H124" s="796"/>
      <c r="I124" s="796"/>
      <c r="J124" s="796"/>
      <c r="K124" s="796"/>
      <c r="L124" s="796"/>
      <c r="M124" s="796"/>
      <c r="N124" s="796"/>
      <c r="O124" s="796"/>
      <c r="P124" s="796"/>
      <c r="Q124" s="796"/>
      <c r="R124" s="796"/>
      <c r="S124" s="796"/>
      <c r="T124" s="796"/>
      <c r="U124" s="796"/>
      <c r="V124" s="796"/>
      <c r="W124" s="796"/>
      <c r="X124" s="796"/>
      <c r="Y124" s="796"/>
      <c r="Z124" s="796"/>
      <c r="AA124" s="796"/>
      <c r="AB124" s="796"/>
      <c r="AC124" s="796"/>
      <c r="AD124" s="796"/>
      <c r="AE124" s="796"/>
      <c r="AF124" s="796"/>
      <c r="AG124" s="796"/>
      <c r="AH124" s="796"/>
      <c r="AI124" s="796"/>
      <c r="AJ124" s="796"/>
      <c r="AK124" s="796"/>
      <c r="AL124" s="796"/>
      <c r="AM124" s="796"/>
      <c r="AN124" s="796"/>
      <c r="AO124" s="796"/>
      <c r="AP124" s="796"/>
      <c r="AQ124" s="796"/>
      <c r="AR124" s="796"/>
      <c r="AS124" s="796"/>
      <c r="AT124" s="796"/>
      <c r="AU124" s="796"/>
    </row>
    <row r="125" spans="1:47" ht="13.5">
      <c r="A125" s="796"/>
      <c r="B125" s="796"/>
      <c r="C125" s="796"/>
      <c r="D125" s="796"/>
      <c r="E125" s="796"/>
      <c r="F125" s="796"/>
      <c r="G125" s="796"/>
      <c r="H125" s="796"/>
      <c r="I125" s="796"/>
      <c r="J125" s="796"/>
      <c r="K125" s="796"/>
      <c r="L125" s="796"/>
      <c r="M125" s="796"/>
      <c r="N125" s="796"/>
      <c r="O125" s="796"/>
      <c r="P125" s="796"/>
      <c r="Q125" s="796"/>
      <c r="R125" s="796"/>
      <c r="S125" s="796"/>
      <c r="T125" s="796"/>
      <c r="U125" s="796"/>
      <c r="V125" s="796"/>
      <c r="W125" s="796"/>
      <c r="X125" s="796"/>
      <c r="Y125" s="796"/>
      <c r="Z125" s="796"/>
      <c r="AA125" s="796"/>
      <c r="AB125" s="796"/>
      <c r="AC125" s="796"/>
      <c r="AD125" s="796"/>
      <c r="AE125" s="796"/>
      <c r="AF125" s="796"/>
      <c r="AG125" s="796"/>
      <c r="AH125" s="796"/>
      <c r="AI125" s="796"/>
      <c r="AJ125" s="796"/>
      <c r="AK125" s="796"/>
      <c r="AL125" s="796"/>
      <c r="AM125" s="796"/>
      <c r="AN125" s="796"/>
      <c r="AO125" s="796"/>
      <c r="AP125" s="796"/>
      <c r="AQ125" s="796"/>
      <c r="AR125" s="796"/>
      <c r="AS125" s="796"/>
      <c r="AT125" s="796"/>
      <c r="AU125" s="796"/>
    </row>
    <row r="126" spans="1:47" ht="13.5">
      <c r="A126" s="796"/>
      <c r="B126" s="796"/>
      <c r="C126" s="796"/>
      <c r="D126" s="796"/>
      <c r="E126" s="796"/>
      <c r="F126" s="796"/>
      <c r="G126" s="796"/>
      <c r="H126" s="796"/>
      <c r="I126" s="796"/>
      <c r="J126" s="796"/>
      <c r="K126" s="796"/>
      <c r="L126" s="796"/>
      <c r="M126" s="796"/>
      <c r="N126" s="796"/>
      <c r="O126" s="796"/>
      <c r="P126" s="796"/>
      <c r="Q126" s="796"/>
      <c r="R126" s="796"/>
      <c r="S126" s="796"/>
      <c r="T126" s="796"/>
      <c r="U126" s="796"/>
      <c r="V126" s="796"/>
      <c r="W126" s="796"/>
      <c r="X126" s="796"/>
      <c r="Y126" s="796"/>
      <c r="Z126" s="796"/>
      <c r="AA126" s="796"/>
      <c r="AB126" s="796"/>
      <c r="AC126" s="796"/>
      <c r="AD126" s="796"/>
      <c r="AE126" s="796"/>
      <c r="AF126" s="796"/>
      <c r="AG126" s="796"/>
      <c r="AH126" s="796"/>
      <c r="AI126" s="796"/>
      <c r="AJ126" s="796"/>
      <c r="AK126" s="796"/>
      <c r="AL126" s="796"/>
      <c r="AM126" s="796"/>
      <c r="AN126" s="796"/>
      <c r="AO126" s="796"/>
      <c r="AP126" s="796"/>
      <c r="AQ126" s="796"/>
      <c r="AR126" s="796"/>
      <c r="AS126" s="796"/>
      <c r="AT126" s="796"/>
      <c r="AU126" s="796"/>
    </row>
    <row r="127" spans="1:47" ht="13.5">
      <c r="A127" s="796"/>
      <c r="B127" s="796"/>
      <c r="C127" s="796"/>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6"/>
      <c r="AA127" s="796"/>
      <c r="AB127" s="796"/>
      <c r="AC127" s="796"/>
      <c r="AD127" s="796"/>
      <c r="AE127" s="796"/>
      <c r="AF127" s="796"/>
      <c r="AG127" s="796"/>
      <c r="AH127" s="796"/>
      <c r="AI127" s="796"/>
      <c r="AJ127" s="796"/>
      <c r="AK127" s="796"/>
      <c r="AL127" s="796"/>
      <c r="AM127" s="796"/>
      <c r="AN127" s="796"/>
      <c r="AO127" s="796"/>
      <c r="AP127" s="796"/>
      <c r="AQ127" s="796"/>
      <c r="AR127" s="796"/>
      <c r="AS127" s="796"/>
      <c r="AT127" s="796"/>
      <c r="AU127" s="796"/>
    </row>
    <row r="128" spans="1:47" ht="13.5">
      <c r="A128" s="796"/>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6"/>
      <c r="X128" s="796"/>
      <c r="Y128" s="796"/>
      <c r="Z128" s="796"/>
      <c r="AA128" s="796"/>
      <c r="AB128" s="796"/>
      <c r="AC128" s="796"/>
      <c r="AD128" s="796"/>
      <c r="AE128" s="796"/>
      <c r="AF128" s="796"/>
      <c r="AG128" s="796"/>
      <c r="AH128" s="796"/>
      <c r="AI128" s="796"/>
      <c r="AJ128" s="796"/>
      <c r="AK128" s="796"/>
      <c r="AL128" s="796"/>
      <c r="AM128" s="796"/>
      <c r="AN128" s="796"/>
      <c r="AO128" s="796"/>
      <c r="AP128" s="796"/>
      <c r="AQ128" s="796"/>
      <c r="AR128" s="796"/>
      <c r="AS128" s="796"/>
      <c r="AT128" s="796"/>
      <c r="AU128" s="796"/>
    </row>
    <row r="129" spans="1:47" ht="13.5">
      <c r="A129" s="796"/>
      <c r="B129" s="796"/>
      <c r="C129" s="796"/>
      <c r="D129" s="796"/>
      <c r="E129" s="796"/>
      <c r="F129" s="796"/>
      <c r="G129" s="796"/>
      <c r="H129" s="796"/>
      <c r="I129" s="796"/>
      <c r="J129" s="796"/>
      <c r="K129" s="796"/>
      <c r="L129" s="796"/>
      <c r="M129" s="796"/>
      <c r="N129" s="796"/>
      <c r="O129" s="796"/>
      <c r="P129" s="796"/>
      <c r="Q129" s="796"/>
      <c r="R129" s="796"/>
      <c r="S129" s="796"/>
      <c r="T129" s="796"/>
      <c r="U129" s="796"/>
      <c r="V129" s="796"/>
      <c r="W129" s="796"/>
      <c r="X129" s="796"/>
      <c r="Y129" s="796"/>
      <c r="Z129" s="796"/>
      <c r="AA129" s="796"/>
      <c r="AB129" s="796"/>
      <c r="AC129" s="796"/>
      <c r="AD129" s="796"/>
      <c r="AE129" s="796"/>
      <c r="AF129" s="796"/>
      <c r="AG129" s="796"/>
      <c r="AH129" s="796"/>
      <c r="AI129" s="796"/>
      <c r="AJ129" s="796"/>
      <c r="AK129" s="796"/>
      <c r="AL129" s="796"/>
      <c r="AM129" s="796"/>
      <c r="AN129" s="796"/>
      <c r="AO129" s="796"/>
      <c r="AP129" s="796"/>
      <c r="AQ129" s="796"/>
      <c r="AR129" s="796"/>
      <c r="AS129" s="796"/>
      <c r="AT129" s="796"/>
      <c r="AU129" s="796"/>
    </row>
    <row r="130" spans="1:47" ht="13.5">
      <c r="A130" s="796"/>
      <c r="B130" s="796"/>
      <c r="C130" s="796"/>
      <c r="D130" s="796"/>
      <c r="E130" s="796"/>
      <c r="F130" s="796"/>
      <c r="G130" s="796"/>
      <c r="H130" s="796"/>
      <c r="I130" s="796"/>
      <c r="J130" s="796"/>
      <c r="K130" s="796"/>
      <c r="L130" s="796"/>
      <c r="M130" s="796"/>
      <c r="N130" s="796"/>
      <c r="O130" s="796"/>
      <c r="P130" s="796"/>
      <c r="Q130" s="796"/>
      <c r="R130" s="796"/>
      <c r="S130" s="796"/>
      <c r="T130" s="796"/>
      <c r="U130" s="796"/>
      <c r="V130" s="796"/>
      <c r="W130" s="796"/>
      <c r="X130" s="796"/>
      <c r="Y130" s="796"/>
      <c r="Z130" s="796"/>
      <c r="AA130" s="796"/>
      <c r="AB130" s="796"/>
      <c r="AC130" s="796"/>
      <c r="AD130" s="796"/>
      <c r="AE130" s="796"/>
      <c r="AF130" s="796"/>
      <c r="AG130" s="796"/>
      <c r="AH130" s="796"/>
      <c r="AI130" s="796"/>
      <c r="AJ130" s="796"/>
      <c r="AK130" s="796"/>
      <c r="AL130" s="796"/>
      <c r="AM130" s="796"/>
      <c r="AN130" s="796"/>
      <c r="AO130" s="796"/>
      <c r="AP130" s="796"/>
      <c r="AQ130" s="796"/>
      <c r="AR130" s="796"/>
      <c r="AS130" s="796"/>
      <c r="AT130" s="796"/>
      <c r="AU130" s="796"/>
    </row>
    <row r="131" spans="1:47" ht="13.5">
      <c r="A131" s="796"/>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6"/>
      <c r="X131" s="796"/>
      <c r="Y131" s="796"/>
      <c r="Z131" s="796"/>
      <c r="AA131" s="796"/>
      <c r="AB131" s="796"/>
      <c r="AC131" s="796"/>
      <c r="AD131" s="796"/>
      <c r="AE131" s="796"/>
      <c r="AF131" s="796"/>
      <c r="AG131" s="796"/>
      <c r="AH131" s="796"/>
      <c r="AI131" s="796"/>
      <c r="AJ131" s="796"/>
      <c r="AK131" s="796"/>
      <c r="AL131" s="796"/>
      <c r="AM131" s="796"/>
      <c r="AN131" s="796"/>
      <c r="AO131" s="796"/>
      <c r="AP131" s="796"/>
      <c r="AQ131" s="796"/>
      <c r="AR131" s="796"/>
      <c r="AS131" s="796"/>
      <c r="AT131" s="796"/>
      <c r="AU131" s="796"/>
    </row>
    <row r="132" spans="1:47" ht="13.5">
      <c r="A132" s="796"/>
      <c r="B132" s="796"/>
      <c r="C132" s="796"/>
      <c r="D132" s="796"/>
      <c r="E132" s="796"/>
      <c r="F132" s="796"/>
      <c r="G132" s="796"/>
      <c r="H132" s="796"/>
      <c r="I132" s="796"/>
      <c r="J132" s="796"/>
      <c r="K132" s="796"/>
      <c r="L132" s="796"/>
      <c r="M132" s="796"/>
      <c r="N132" s="796"/>
      <c r="O132" s="796"/>
      <c r="P132" s="796"/>
      <c r="Q132" s="796"/>
      <c r="R132" s="796"/>
      <c r="S132" s="796"/>
      <c r="T132" s="796"/>
      <c r="U132" s="796"/>
      <c r="V132" s="796"/>
      <c r="W132" s="796"/>
      <c r="X132" s="796"/>
      <c r="Y132" s="796"/>
      <c r="Z132" s="796"/>
      <c r="AA132" s="796"/>
      <c r="AB132" s="796"/>
      <c r="AC132" s="796"/>
      <c r="AD132" s="796"/>
      <c r="AE132" s="796"/>
      <c r="AF132" s="796"/>
      <c r="AG132" s="796"/>
      <c r="AH132" s="796"/>
      <c r="AI132" s="796"/>
      <c r="AJ132" s="796"/>
      <c r="AK132" s="796"/>
      <c r="AL132" s="796"/>
      <c r="AM132" s="796"/>
      <c r="AN132" s="796"/>
      <c r="AO132" s="796"/>
      <c r="AP132" s="796"/>
      <c r="AQ132" s="796"/>
      <c r="AR132" s="796"/>
      <c r="AS132" s="796"/>
      <c r="AT132" s="796"/>
      <c r="AU132" s="796"/>
    </row>
    <row r="133" spans="1:47" ht="13.5">
      <c r="A133" s="796"/>
      <c r="B133" s="796"/>
      <c r="C133" s="796"/>
      <c r="D133" s="796"/>
      <c r="E133" s="796"/>
      <c r="F133" s="796"/>
      <c r="G133" s="796"/>
      <c r="H133" s="796"/>
      <c r="I133" s="796"/>
      <c r="J133" s="796"/>
      <c r="K133" s="796"/>
      <c r="L133" s="796"/>
      <c r="M133" s="796"/>
      <c r="N133" s="796"/>
      <c r="O133" s="796"/>
      <c r="P133" s="796"/>
      <c r="Q133" s="796"/>
      <c r="R133" s="796"/>
      <c r="S133" s="796"/>
      <c r="T133" s="796"/>
      <c r="U133" s="796"/>
      <c r="V133" s="796"/>
      <c r="W133" s="796"/>
      <c r="X133" s="796"/>
      <c r="Y133" s="796"/>
      <c r="Z133" s="796"/>
      <c r="AA133" s="796"/>
      <c r="AB133" s="796"/>
      <c r="AC133" s="796"/>
      <c r="AD133" s="796"/>
      <c r="AE133" s="796"/>
      <c r="AF133" s="796"/>
      <c r="AG133" s="796"/>
      <c r="AH133" s="796"/>
      <c r="AI133" s="796"/>
      <c r="AJ133" s="796"/>
      <c r="AK133" s="796"/>
      <c r="AL133" s="796"/>
      <c r="AM133" s="796"/>
      <c r="AN133" s="796"/>
      <c r="AO133" s="796"/>
      <c r="AP133" s="796"/>
      <c r="AQ133" s="796"/>
      <c r="AR133" s="796"/>
      <c r="AS133" s="796"/>
      <c r="AT133" s="796"/>
      <c r="AU133" s="796"/>
    </row>
    <row r="134" spans="1:47" ht="13.5">
      <c r="A134" s="796"/>
      <c r="B134" s="796"/>
      <c r="C134" s="796"/>
      <c r="D134" s="796"/>
      <c r="E134" s="796"/>
      <c r="F134" s="796"/>
      <c r="G134" s="796"/>
      <c r="H134" s="796"/>
      <c r="I134" s="796"/>
      <c r="J134" s="796"/>
      <c r="K134" s="796"/>
      <c r="L134" s="796"/>
      <c r="M134" s="796"/>
      <c r="N134" s="796"/>
      <c r="O134" s="796"/>
      <c r="P134" s="796"/>
      <c r="Q134" s="796"/>
      <c r="R134" s="796"/>
      <c r="S134" s="796"/>
      <c r="T134" s="796"/>
      <c r="U134" s="796"/>
      <c r="V134" s="796"/>
      <c r="W134" s="796"/>
      <c r="X134" s="796"/>
      <c r="Y134" s="796"/>
      <c r="Z134" s="796"/>
      <c r="AA134" s="796"/>
      <c r="AB134" s="796"/>
      <c r="AC134" s="796"/>
      <c r="AD134" s="796"/>
      <c r="AE134" s="796"/>
      <c r="AF134" s="796"/>
      <c r="AG134" s="796"/>
      <c r="AH134" s="796"/>
      <c r="AI134" s="796"/>
      <c r="AJ134" s="796"/>
      <c r="AK134" s="796"/>
      <c r="AL134" s="796"/>
      <c r="AM134" s="796"/>
      <c r="AN134" s="796"/>
      <c r="AO134" s="796"/>
      <c r="AP134" s="796"/>
      <c r="AQ134" s="796"/>
      <c r="AR134" s="796"/>
      <c r="AS134" s="796"/>
      <c r="AT134" s="796"/>
      <c r="AU134" s="796"/>
    </row>
    <row r="135" spans="1:47" ht="13.5">
      <c r="A135" s="796"/>
      <c r="B135" s="796"/>
      <c r="C135" s="796"/>
      <c r="D135" s="796"/>
      <c r="E135" s="796"/>
      <c r="F135" s="796"/>
      <c r="G135" s="796"/>
      <c r="H135" s="796"/>
      <c r="I135" s="796"/>
      <c r="J135" s="796"/>
      <c r="K135" s="796"/>
      <c r="L135" s="796"/>
      <c r="M135" s="796"/>
      <c r="N135" s="796"/>
      <c r="O135" s="796"/>
      <c r="P135" s="796"/>
      <c r="Q135" s="796"/>
      <c r="R135" s="796"/>
      <c r="S135" s="796"/>
      <c r="T135" s="796"/>
      <c r="U135" s="796"/>
      <c r="V135" s="796"/>
      <c r="W135" s="796"/>
      <c r="X135" s="796"/>
      <c r="Y135" s="796"/>
      <c r="Z135" s="796"/>
      <c r="AA135" s="796"/>
      <c r="AB135" s="796"/>
      <c r="AC135" s="796"/>
      <c r="AD135" s="796"/>
      <c r="AE135" s="796"/>
      <c r="AF135" s="796"/>
      <c r="AG135" s="796"/>
      <c r="AH135" s="796"/>
      <c r="AI135" s="796"/>
      <c r="AJ135" s="796"/>
      <c r="AK135" s="796"/>
      <c r="AL135" s="796"/>
      <c r="AM135" s="796"/>
      <c r="AN135" s="796"/>
      <c r="AO135" s="796"/>
      <c r="AP135" s="796"/>
      <c r="AQ135" s="796"/>
      <c r="AR135" s="796"/>
      <c r="AS135" s="796"/>
      <c r="AT135" s="796"/>
      <c r="AU135" s="796"/>
    </row>
    <row r="136" spans="1:47" ht="13.5">
      <c r="A136" s="796"/>
      <c r="B136" s="796"/>
      <c r="C136" s="796"/>
      <c r="D136" s="796"/>
      <c r="E136" s="796"/>
      <c r="F136" s="796"/>
      <c r="G136" s="796"/>
      <c r="H136" s="796"/>
      <c r="I136" s="796"/>
      <c r="J136" s="796"/>
      <c r="K136" s="796"/>
      <c r="L136" s="796"/>
      <c r="M136" s="796"/>
      <c r="N136" s="796"/>
      <c r="O136" s="796"/>
      <c r="P136" s="796"/>
      <c r="Q136" s="796"/>
      <c r="R136" s="796"/>
      <c r="S136" s="796"/>
      <c r="T136" s="796"/>
      <c r="U136" s="796"/>
      <c r="V136" s="796"/>
      <c r="W136" s="796"/>
      <c r="X136" s="796"/>
      <c r="Y136" s="796"/>
      <c r="Z136" s="796"/>
      <c r="AA136" s="796"/>
      <c r="AB136" s="796"/>
      <c r="AC136" s="796"/>
      <c r="AD136" s="796"/>
      <c r="AE136" s="796"/>
      <c r="AF136" s="796"/>
      <c r="AG136" s="796"/>
      <c r="AH136" s="796"/>
      <c r="AI136" s="796"/>
      <c r="AJ136" s="796"/>
      <c r="AK136" s="796"/>
      <c r="AL136" s="796"/>
      <c r="AM136" s="796"/>
      <c r="AN136" s="796"/>
      <c r="AO136" s="796"/>
      <c r="AP136" s="796"/>
      <c r="AQ136" s="796"/>
      <c r="AR136" s="796"/>
      <c r="AS136" s="796"/>
      <c r="AT136" s="796"/>
      <c r="AU136" s="796"/>
    </row>
    <row r="137" spans="1:47" ht="13.5">
      <c r="A137" s="796"/>
      <c r="B137" s="796"/>
      <c r="C137" s="796"/>
      <c r="D137" s="796"/>
      <c r="E137" s="796"/>
      <c r="F137" s="796"/>
      <c r="G137" s="796"/>
      <c r="H137" s="796"/>
      <c r="I137" s="796"/>
      <c r="J137" s="796"/>
      <c r="K137" s="796"/>
      <c r="L137" s="796"/>
      <c r="M137" s="796"/>
      <c r="N137" s="796"/>
      <c r="O137" s="796"/>
      <c r="P137" s="796"/>
      <c r="Q137" s="796"/>
      <c r="R137" s="796"/>
      <c r="S137" s="796"/>
      <c r="T137" s="796"/>
      <c r="U137" s="796"/>
      <c r="V137" s="796"/>
      <c r="W137" s="796"/>
      <c r="X137" s="796"/>
      <c r="Y137" s="796"/>
      <c r="Z137" s="796"/>
      <c r="AA137" s="796"/>
      <c r="AB137" s="796"/>
      <c r="AC137" s="796"/>
      <c r="AD137" s="796"/>
      <c r="AE137" s="796"/>
      <c r="AF137" s="796"/>
      <c r="AG137" s="796"/>
      <c r="AH137" s="796"/>
      <c r="AI137" s="796"/>
      <c r="AJ137" s="796"/>
      <c r="AK137" s="796"/>
      <c r="AL137" s="796"/>
      <c r="AM137" s="796"/>
      <c r="AN137" s="796"/>
      <c r="AO137" s="796"/>
      <c r="AP137" s="796"/>
      <c r="AQ137" s="796"/>
      <c r="AR137" s="796"/>
      <c r="AS137" s="796"/>
      <c r="AT137" s="796"/>
      <c r="AU137" s="796"/>
    </row>
    <row r="138" spans="1:47" ht="13.5">
      <c r="A138" s="796"/>
      <c r="B138" s="796"/>
      <c r="C138" s="796"/>
      <c r="D138" s="796"/>
      <c r="E138" s="796"/>
      <c r="F138" s="796"/>
      <c r="G138" s="796"/>
      <c r="H138" s="796"/>
      <c r="I138" s="796"/>
      <c r="J138" s="796"/>
      <c r="K138" s="796"/>
      <c r="L138" s="796"/>
      <c r="M138" s="796"/>
      <c r="N138" s="796"/>
      <c r="O138" s="796"/>
      <c r="P138" s="796"/>
      <c r="Q138" s="796"/>
      <c r="R138" s="796"/>
      <c r="S138" s="796"/>
      <c r="T138" s="796"/>
      <c r="U138" s="796"/>
      <c r="V138" s="796"/>
      <c r="W138" s="796"/>
      <c r="X138" s="796"/>
      <c r="Y138" s="796"/>
      <c r="Z138" s="796"/>
      <c r="AA138" s="796"/>
      <c r="AB138" s="796"/>
      <c r="AC138" s="796"/>
      <c r="AD138" s="796"/>
      <c r="AE138" s="796"/>
      <c r="AF138" s="796"/>
      <c r="AG138" s="796"/>
      <c r="AH138" s="796"/>
      <c r="AI138" s="796"/>
      <c r="AJ138" s="796"/>
      <c r="AK138" s="796"/>
      <c r="AL138" s="796"/>
      <c r="AM138" s="796"/>
      <c r="AN138" s="796"/>
      <c r="AO138" s="796"/>
      <c r="AP138" s="796"/>
      <c r="AQ138" s="796"/>
      <c r="AR138" s="796"/>
      <c r="AS138" s="796"/>
      <c r="AT138" s="796"/>
      <c r="AU138" s="796"/>
    </row>
    <row r="139" spans="1:47" ht="13.5">
      <c r="A139" s="796"/>
      <c r="B139" s="796"/>
      <c r="C139" s="796"/>
      <c r="D139" s="796"/>
      <c r="E139" s="796"/>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6"/>
      <c r="AB139" s="796"/>
      <c r="AC139" s="796"/>
      <c r="AD139" s="796"/>
      <c r="AE139" s="796"/>
      <c r="AF139" s="796"/>
      <c r="AG139" s="796"/>
      <c r="AH139" s="796"/>
      <c r="AI139" s="796"/>
      <c r="AJ139" s="796"/>
      <c r="AK139" s="796"/>
      <c r="AL139" s="796"/>
      <c r="AM139" s="796"/>
      <c r="AN139" s="796"/>
      <c r="AO139" s="796"/>
      <c r="AP139" s="796"/>
      <c r="AQ139" s="796"/>
      <c r="AR139" s="796"/>
      <c r="AS139" s="796"/>
      <c r="AT139" s="796"/>
      <c r="AU139" s="796"/>
    </row>
    <row r="140" spans="1:47" ht="13.5">
      <c r="A140" s="796"/>
      <c r="B140" s="796"/>
      <c r="C140" s="796"/>
      <c r="D140" s="796"/>
      <c r="E140" s="796"/>
      <c r="F140" s="796"/>
      <c r="G140" s="796"/>
      <c r="H140" s="796"/>
      <c r="I140" s="796"/>
      <c r="J140" s="796"/>
      <c r="K140" s="796"/>
      <c r="L140" s="796"/>
      <c r="M140" s="796"/>
      <c r="N140" s="796"/>
      <c r="O140" s="796"/>
      <c r="P140" s="796"/>
      <c r="Q140" s="796"/>
      <c r="R140" s="796"/>
      <c r="S140" s="796"/>
      <c r="T140" s="796"/>
      <c r="U140" s="796"/>
      <c r="V140" s="796"/>
      <c r="W140" s="796"/>
      <c r="X140" s="796"/>
      <c r="Y140" s="796"/>
      <c r="Z140" s="796"/>
      <c r="AA140" s="796"/>
      <c r="AB140" s="796"/>
      <c r="AC140" s="796"/>
      <c r="AD140" s="796"/>
      <c r="AE140" s="796"/>
      <c r="AF140" s="796"/>
      <c r="AG140" s="796"/>
      <c r="AH140" s="796"/>
      <c r="AI140" s="796"/>
      <c r="AJ140" s="796"/>
      <c r="AK140" s="796"/>
      <c r="AL140" s="796"/>
      <c r="AM140" s="796"/>
      <c r="AN140" s="796"/>
      <c r="AO140" s="796"/>
      <c r="AP140" s="796"/>
      <c r="AQ140" s="796"/>
      <c r="AR140" s="796"/>
      <c r="AS140" s="796"/>
      <c r="AT140" s="796"/>
      <c r="AU140" s="796"/>
    </row>
    <row r="141" spans="1:47" ht="13.5">
      <c r="A141" s="796"/>
      <c r="B141" s="796"/>
      <c r="C141" s="796"/>
      <c r="D141" s="796"/>
      <c r="E141" s="796"/>
      <c r="F141" s="796"/>
      <c r="G141" s="796"/>
      <c r="H141" s="796"/>
      <c r="I141" s="796"/>
      <c r="J141" s="796"/>
      <c r="K141" s="796"/>
      <c r="L141" s="796"/>
      <c r="M141" s="796"/>
      <c r="N141" s="796"/>
      <c r="O141" s="796"/>
      <c r="P141" s="796"/>
      <c r="Q141" s="796"/>
      <c r="R141" s="796"/>
      <c r="S141" s="796"/>
      <c r="T141" s="796"/>
      <c r="U141" s="796"/>
      <c r="V141" s="796"/>
      <c r="W141" s="796"/>
      <c r="X141" s="796"/>
      <c r="Y141" s="796"/>
      <c r="Z141" s="796"/>
      <c r="AA141" s="796"/>
      <c r="AB141" s="796"/>
      <c r="AC141" s="796"/>
      <c r="AD141" s="796"/>
      <c r="AE141" s="796"/>
      <c r="AF141" s="796"/>
      <c r="AG141" s="796"/>
      <c r="AH141" s="796"/>
      <c r="AI141" s="796"/>
      <c r="AJ141" s="796"/>
      <c r="AK141" s="796"/>
      <c r="AL141" s="796"/>
      <c r="AM141" s="796"/>
      <c r="AN141" s="796"/>
      <c r="AO141" s="796"/>
      <c r="AP141" s="796"/>
      <c r="AQ141" s="796"/>
      <c r="AR141" s="796"/>
      <c r="AS141" s="796"/>
      <c r="AT141" s="796"/>
      <c r="AU141" s="796"/>
    </row>
    <row r="142" spans="1:47" ht="13.5">
      <c r="A142" s="796"/>
      <c r="B142" s="796"/>
      <c r="C142" s="796"/>
      <c r="D142" s="796"/>
      <c r="E142" s="796"/>
      <c r="F142" s="796"/>
      <c r="G142" s="796"/>
      <c r="H142" s="796"/>
      <c r="I142" s="796"/>
      <c r="J142" s="796"/>
      <c r="K142" s="796"/>
      <c r="L142" s="796"/>
      <c r="M142" s="796"/>
      <c r="N142" s="796"/>
      <c r="O142" s="796"/>
      <c r="P142" s="796"/>
      <c r="Q142" s="796"/>
      <c r="R142" s="796"/>
      <c r="S142" s="796"/>
      <c r="T142" s="796"/>
      <c r="U142" s="796"/>
      <c r="V142" s="796"/>
      <c r="W142" s="796"/>
      <c r="X142" s="796"/>
      <c r="Y142" s="796"/>
      <c r="Z142" s="796"/>
      <c r="AA142" s="796"/>
      <c r="AB142" s="796"/>
      <c r="AC142" s="796"/>
      <c r="AD142" s="796"/>
      <c r="AE142" s="796"/>
      <c r="AF142" s="796"/>
      <c r="AG142" s="796"/>
      <c r="AH142" s="796"/>
      <c r="AI142" s="796"/>
      <c r="AJ142" s="796"/>
      <c r="AK142" s="796"/>
      <c r="AL142" s="796"/>
      <c r="AM142" s="796"/>
      <c r="AN142" s="796"/>
      <c r="AO142" s="796"/>
      <c r="AP142" s="796"/>
      <c r="AQ142" s="796"/>
      <c r="AR142" s="796"/>
      <c r="AS142" s="796"/>
      <c r="AT142" s="796"/>
      <c r="AU142" s="796"/>
    </row>
    <row r="143" spans="1:47" ht="13.5">
      <c r="A143" s="796"/>
      <c r="B143" s="796"/>
      <c r="C143" s="796"/>
      <c r="D143" s="796"/>
      <c r="E143" s="796"/>
      <c r="F143" s="796"/>
      <c r="G143" s="796"/>
      <c r="H143" s="796"/>
      <c r="I143" s="796"/>
      <c r="J143" s="796"/>
      <c r="K143" s="796"/>
      <c r="L143" s="796"/>
      <c r="M143" s="796"/>
      <c r="N143" s="796"/>
      <c r="O143" s="796"/>
      <c r="P143" s="796"/>
      <c r="Q143" s="796"/>
      <c r="R143" s="796"/>
      <c r="S143" s="796"/>
      <c r="T143" s="796"/>
      <c r="U143" s="796"/>
      <c r="V143" s="796"/>
      <c r="W143" s="796"/>
      <c r="X143" s="796"/>
      <c r="Y143" s="796"/>
      <c r="Z143" s="796"/>
      <c r="AA143" s="796"/>
      <c r="AB143" s="796"/>
      <c r="AC143" s="796"/>
      <c r="AD143" s="796"/>
      <c r="AE143" s="796"/>
      <c r="AF143" s="796"/>
      <c r="AG143" s="796"/>
      <c r="AH143" s="796"/>
      <c r="AI143" s="796"/>
      <c r="AJ143" s="796"/>
      <c r="AK143" s="796"/>
      <c r="AL143" s="796"/>
      <c r="AM143" s="796"/>
      <c r="AN143" s="796"/>
      <c r="AO143" s="796"/>
      <c r="AP143" s="796"/>
      <c r="AQ143" s="796"/>
      <c r="AR143" s="796"/>
      <c r="AS143" s="796"/>
      <c r="AT143" s="796"/>
      <c r="AU143" s="796"/>
    </row>
    <row r="144" spans="1:47" ht="13.5">
      <c r="A144" s="796"/>
      <c r="B144" s="796"/>
      <c r="C144" s="796"/>
      <c r="D144" s="796"/>
      <c r="E144" s="796"/>
      <c r="F144" s="796"/>
      <c r="G144" s="796"/>
      <c r="H144" s="796"/>
      <c r="I144" s="796"/>
      <c r="J144" s="796"/>
      <c r="K144" s="796"/>
      <c r="L144" s="796"/>
      <c r="M144" s="796"/>
      <c r="N144" s="796"/>
      <c r="O144" s="796"/>
      <c r="P144" s="796"/>
      <c r="Q144" s="796"/>
      <c r="R144" s="796"/>
      <c r="S144" s="796"/>
      <c r="T144" s="796"/>
      <c r="U144" s="796"/>
      <c r="V144" s="796"/>
      <c r="W144" s="796"/>
      <c r="X144" s="796"/>
      <c r="Y144" s="796"/>
      <c r="Z144" s="796"/>
      <c r="AA144" s="796"/>
      <c r="AB144" s="796"/>
      <c r="AC144" s="796"/>
      <c r="AD144" s="796"/>
      <c r="AE144" s="796"/>
      <c r="AF144" s="796"/>
      <c r="AG144" s="796"/>
      <c r="AH144" s="796"/>
      <c r="AI144" s="796"/>
      <c r="AJ144" s="796"/>
      <c r="AK144" s="796"/>
      <c r="AL144" s="796"/>
      <c r="AM144" s="796"/>
      <c r="AN144" s="796"/>
      <c r="AO144" s="796"/>
      <c r="AP144" s="796"/>
      <c r="AQ144" s="796"/>
      <c r="AR144" s="796"/>
      <c r="AS144" s="796"/>
      <c r="AT144" s="796"/>
      <c r="AU144" s="796"/>
    </row>
    <row r="145" spans="1:47" ht="13.5">
      <c r="A145" s="796"/>
      <c r="B145" s="796"/>
      <c r="C145" s="796"/>
      <c r="D145" s="796"/>
      <c r="E145" s="796"/>
      <c r="F145" s="796"/>
      <c r="G145" s="796"/>
      <c r="H145" s="796"/>
      <c r="I145" s="796"/>
      <c r="J145" s="796"/>
      <c r="K145" s="796"/>
      <c r="L145" s="796"/>
      <c r="M145" s="796"/>
      <c r="N145" s="796"/>
      <c r="O145" s="796"/>
      <c r="P145" s="796"/>
      <c r="Q145" s="796"/>
      <c r="R145" s="796"/>
      <c r="S145" s="796"/>
      <c r="T145" s="796"/>
      <c r="U145" s="796"/>
      <c r="V145" s="796"/>
      <c r="W145" s="796"/>
      <c r="X145" s="796"/>
      <c r="Y145" s="796"/>
      <c r="Z145" s="796"/>
      <c r="AA145" s="796"/>
      <c r="AB145" s="796"/>
      <c r="AC145" s="796"/>
      <c r="AD145" s="796"/>
      <c r="AE145" s="796"/>
      <c r="AF145" s="796"/>
      <c r="AG145" s="796"/>
      <c r="AH145" s="796"/>
      <c r="AI145" s="796"/>
      <c r="AJ145" s="796"/>
      <c r="AK145" s="796"/>
      <c r="AL145" s="796"/>
      <c r="AM145" s="796"/>
      <c r="AN145" s="796"/>
      <c r="AO145" s="796"/>
      <c r="AP145" s="796"/>
      <c r="AQ145" s="796"/>
      <c r="AR145" s="796"/>
      <c r="AS145" s="796"/>
      <c r="AT145" s="796"/>
      <c r="AU145" s="796"/>
    </row>
    <row r="146" spans="1:47" ht="13.5">
      <c r="A146" s="796"/>
      <c r="B146" s="796"/>
      <c r="C146" s="796"/>
      <c r="D146" s="796"/>
      <c r="E146" s="796"/>
      <c r="F146" s="796"/>
      <c r="G146" s="796"/>
      <c r="H146" s="796"/>
      <c r="I146" s="796"/>
      <c r="J146" s="796"/>
      <c r="K146" s="796"/>
      <c r="L146" s="796"/>
      <c r="M146" s="796"/>
      <c r="N146" s="796"/>
      <c r="O146" s="796"/>
      <c r="P146" s="796"/>
      <c r="Q146" s="796"/>
      <c r="R146" s="796"/>
      <c r="S146" s="796"/>
      <c r="T146" s="796"/>
      <c r="U146" s="796"/>
      <c r="V146" s="796"/>
      <c r="W146" s="796"/>
      <c r="X146" s="796"/>
      <c r="Y146" s="796"/>
      <c r="Z146" s="796"/>
      <c r="AA146" s="796"/>
      <c r="AB146" s="796"/>
      <c r="AC146" s="796"/>
      <c r="AD146" s="796"/>
      <c r="AE146" s="796"/>
      <c r="AF146" s="796"/>
      <c r="AG146" s="796"/>
      <c r="AH146" s="796"/>
      <c r="AI146" s="796"/>
      <c r="AJ146" s="796"/>
      <c r="AK146" s="796"/>
      <c r="AL146" s="796"/>
      <c r="AM146" s="796"/>
      <c r="AN146" s="796"/>
      <c r="AO146" s="796"/>
      <c r="AP146" s="796"/>
      <c r="AQ146" s="796"/>
      <c r="AR146" s="796"/>
      <c r="AS146" s="796"/>
      <c r="AT146" s="796"/>
      <c r="AU146" s="796"/>
    </row>
    <row r="147" spans="1:47" ht="13.5">
      <c r="A147" s="796"/>
      <c r="B147" s="796"/>
      <c r="C147" s="796"/>
      <c r="D147" s="796"/>
      <c r="E147" s="796"/>
      <c r="F147" s="796"/>
      <c r="G147" s="796"/>
      <c r="H147" s="796"/>
      <c r="I147" s="796"/>
      <c r="J147" s="796"/>
      <c r="K147" s="796"/>
      <c r="L147" s="796"/>
      <c r="M147" s="796"/>
      <c r="N147" s="796"/>
      <c r="O147" s="796"/>
      <c r="P147" s="796"/>
      <c r="Q147" s="796"/>
      <c r="R147" s="796"/>
      <c r="S147" s="796"/>
      <c r="T147" s="796"/>
      <c r="U147" s="796"/>
      <c r="V147" s="796"/>
      <c r="W147" s="796"/>
      <c r="X147" s="796"/>
      <c r="Y147" s="796"/>
      <c r="Z147" s="796"/>
      <c r="AA147" s="796"/>
      <c r="AB147" s="796"/>
      <c r="AC147" s="796"/>
      <c r="AD147" s="796"/>
      <c r="AE147" s="796"/>
      <c r="AF147" s="796"/>
      <c r="AG147" s="796"/>
      <c r="AH147" s="796"/>
      <c r="AI147" s="796"/>
      <c r="AJ147" s="796"/>
      <c r="AK147" s="796"/>
      <c r="AL147" s="796"/>
      <c r="AM147" s="796"/>
      <c r="AN147" s="796"/>
      <c r="AO147" s="796"/>
      <c r="AP147" s="796"/>
      <c r="AQ147" s="796"/>
      <c r="AR147" s="796"/>
      <c r="AS147" s="796"/>
      <c r="AT147" s="796"/>
      <c r="AU147" s="796"/>
    </row>
    <row r="148" spans="1:47" ht="13.5">
      <c r="A148" s="796"/>
      <c r="B148" s="796"/>
      <c r="C148" s="796"/>
      <c r="D148" s="796"/>
      <c r="E148" s="796"/>
      <c r="F148" s="796"/>
      <c r="G148" s="796"/>
      <c r="H148" s="796"/>
      <c r="I148" s="796"/>
      <c r="J148" s="796"/>
      <c r="K148" s="796"/>
      <c r="L148" s="796"/>
      <c r="M148" s="796"/>
      <c r="N148" s="796"/>
      <c r="O148" s="796"/>
      <c r="P148" s="796"/>
      <c r="Q148" s="796"/>
      <c r="R148" s="796"/>
      <c r="S148" s="796"/>
      <c r="T148" s="796"/>
      <c r="U148" s="796"/>
      <c r="V148" s="796"/>
      <c r="W148" s="796"/>
      <c r="X148" s="796"/>
      <c r="Y148" s="796"/>
      <c r="Z148" s="796"/>
      <c r="AA148" s="796"/>
      <c r="AB148" s="796"/>
      <c r="AC148" s="796"/>
      <c r="AD148" s="796"/>
      <c r="AE148" s="796"/>
      <c r="AF148" s="796"/>
      <c r="AG148" s="796"/>
      <c r="AH148" s="796"/>
      <c r="AI148" s="796"/>
      <c r="AJ148" s="796"/>
      <c r="AK148" s="796"/>
      <c r="AL148" s="796"/>
      <c r="AM148" s="796"/>
      <c r="AN148" s="796"/>
      <c r="AO148" s="796"/>
      <c r="AP148" s="796"/>
      <c r="AQ148" s="796"/>
      <c r="AR148" s="796"/>
      <c r="AS148" s="796"/>
      <c r="AT148" s="796"/>
      <c r="AU148" s="796"/>
    </row>
    <row r="149" spans="1:47" ht="13.5">
      <c r="A149" s="796"/>
      <c r="B149" s="796"/>
      <c r="C149" s="796"/>
      <c r="D149" s="796"/>
      <c r="E149" s="796"/>
      <c r="F149" s="796"/>
      <c r="G149" s="796"/>
      <c r="H149" s="796"/>
      <c r="I149" s="796"/>
      <c r="J149" s="796"/>
      <c r="K149" s="796"/>
      <c r="L149" s="796"/>
      <c r="M149" s="796"/>
      <c r="N149" s="796"/>
      <c r="O149" s="796"/>
      <c r="P149" s="796"/>
      <c r="Q149" s="796"/>
      <c r="R149" s="796"/>
      <c r="S149" s="796"/>
      <c r="T149" s="796"/>
      <c r="U149" s="796"/>
      <c r="V149" s="796"/>
      <c r="W149" s="796"/>
      <c r="X149" s="796"/>
      <c r="Y149" s="796"/>
      <c r="Z149" s="796"/>
      <c r="AA149" s="796"/>
      <c r="AB149" s="796"/>
      <c r="AC149" s="796"/>
      <c r="AD149" s="796"/>
      <c r="AE149" s="796"/>
      <c r="AF149" s="796"/>
      <c r="AG149" s="796"/>
      <c r="AH149" s="796"/>
      <c r="AI149" s="796"/>
      <c r="AJ149" s="796"/>
      <c r="AK149" s="796"/>
      <c r="AL149" s="796"/>
      <c r="AM149" s="796"/>
      <c r="AN149" s="796"/>
      <c r="AO149" s="796"/>
      <c r="AP149" s="796"/>
      <c r="AQ149" s="796"/>
      <c r="AR149" s="796"/>
      <c r="AS149" s="796"/>
      <c r="AT149" s="796"/>
      <c r="AU149" s="796"/>
    </row>
    <row r="150" spans="1:47" ht="13.5">
      <c r="A150" s="796"/>
      <c r="B150" s="796"/>
      <c r="C150" s="796"/>
      <c r="D150" s="796"/>
      <c r="E150" s="796"/>
      <c r="F150" s="796"/>
      <c r="G150" s="796"/>
      <c r="H150" s="796"/>
      <c r="I150" s="796"/>
      <c r="J150" s="796"/>
      <c r="K150" s="796"/>
      <c r="L150" s="796"/>
      <c r="M150" s="796"/>
      <c r="N150" s="796"/>
      <c r="O150" s="796"/>
      <c r="P150" s="796"/>
      <c r="Q150" s="796"/>
      <c r="R150" s="796"/>
      <c r="S150" s="796"/>
      <c r="T150" s="796"/>
      <c r="U150" s="796"/>
      <c r="V150" s="796"/>
      <c r="W150" s="796"/>
      <c r="X150" s="796"/>
      <c r="Y150" s="796"/>
      <c r="Z150" s="796"/>
      <c r="AA150" s="796"/>
      <c r="AB150" s="796"/>
      <c r="AC150" s="796"/>
      <c r="AD150" s="796"/>
      <c r="AE150" s="796"/>
      <c r="AF150" s="796"/>
      <c r="AG150" s="796"/>
      <c r="AH150" s="796"/>
      <c r="AI150" s="796"/>
      <c r="AJ150" s="796"/>
      <c r="AK150" s="796"/>
      <c r="AL150" s="796"/>
      <c r="AM150" s="796"/>
      <c r="AN150" s="796"/>
      <c r="AO150" s="796"/>
      <c r="AP150" s="796"/>
      <c r="AQ150" s="796"/>
      <c r="AR150" s="796"/>
      <c r="AS150" s="796"/>
      <c r="AT150" s="796"/>
      <c r="AU150" s="796"/>
    </row>
    <row r="151" spans="1:47" ht="13.5">
      <c r="A151" s="796"/>
      <c r="B151" s="796"/>
      <c r="C151" s="796"/>
      <c r="D151" s="796"/>
      <c r="E151" s="796"/>
      <c r="F151" s="796"/>
      <c r="G151" s="796"/>
      <c r="H151" s="796"/>
      <c r="I151" s="796"/>
      <c r="J151" s="796"/>
      <c r="K151" s="796"/>
      <c r="L151" s="796"/>
      <c r="M151" s="796"/>
      <c r="N151" s="796"/>
      <c r="O151" s="796"/>
      <c r="P151" s="796"/>
      <c r="Q151" s="796"/>
      <c r="R151" s="796"/>
      <c r="S151" s="796"/>
      <c r="T151" s="796"/>
      <c r="U151" s="796"/>
      <c r="V151" s="796"/>
      <c r="W151" s="796"/>
      <c r="X151" s="796"/>
      <c r="Y151" s="796"/>
      <c r="Z151" s="796"/>
      <c r="AA151" s="796"/>
      <c r="AB151" s="796"/>
      <c r="AC151" s="796"/>
      <c r="AD151" s="796"/>
      <c r="AE151" s="796"/>
      <c r="AF151" s="796"/>
      <c r="AG151" s="796"/>
      <c r="AH151" s="796"/>
      <c r="AI151" s="796"/>
      <c r="AJ151" s="796"/>
      <c r="AK151" s="796"/>
      <c r="AL151" s="796"/>
      <c r="AM151" s="796"/>
      <c r="AN151" s="796"/>
      <c r="AO151" s="796"/>
      <c r="AP151" s="796"/>
      <c r="AQ151" s="796"/>
      <c r="AR151" s="796"/>
      <c r="AS151" s="796"/>
      <c r="AT151" s="796"/>
      <c r="AU151" s="796"/>
    </row>
    <row r="152" spans="1:47" ht="13.5">
      <c r="A152" s="796"/>
      <c r="B152" s="796"/>
      <c r="C152" s="796"/>
      <c r="D152" s="796"/>
      <c r="E152" s="796"/>
      <c r="F152" s="796"/>
      <c r="G152" s="796"/>
      <c r="H152" s="796"/>
      <c r="I152" s="796"/>
      <c r="J152" s="796"/>
      <c r="K152" s="796"/>
      <c r="L152" s="796"/>
      <c r="M152" s="796"/>
      <c r="N152" s="796"/>
      <c r="O152" s="796"/>
      <c r="P152" s="796"/>
      <c r="Q152" s="796"/>
      <c r="R152" s="796"/>
      <c r="S152" s="796"/>
      <c r="T152" s="796"/>
      <c r="U152" s="796"/>
      <c r="V152" s="796"/>
      <c r="W152" s="796"/>
      <c r="X152" s="796"/>
      <c r="Y152" s="796"/>
      <c r="Z152" s="796"/>
      <c r="AA152" s="796"/>
      <c r="AB152" s="796"/>
      <c r="AC152" s="796"/>
      <c r="AD152" s="796"/>
      <c r="AE152" s="796"/>
      <c r="AF152" s="796"/>
      <c r="AG152" s="796"/>
      <c r="AH152" s="796"/>
      <c r="AI152" s="796"/>
      <c r="AJ152" s="796"/>
      <c r="AK152" s="796"/>
      <c r="AL152" s="796"/>
      <c r="AM152" s="796"/>
      <c r="AN152" s="796"/>
      <c r="AO152" s="796"/>
      <c r="AP152" s="796"/>
      <c r="AQ152" s="796"/>
      <c r="AR152" s="796"/>
      <c r="AS152" s="796"/>
      <c r="AT152" s="796"/>
      <c r="AU152" s="796"/>
    </row>
    <row r="153" spans="1:47" ht="13.5">
      <c r="A153" s="796"/>
      <c r="B153" s="796"/>
      <c r="C153" s="796"/>
      <c r="D153" s="796"/>
      <c r="E153" s="796"/>
      <c r="F153" s="796"/>
      <c r="G153" s="796"/>
      <c r="H153" s="796"/>
      <c r="I153" s="796"/>
      <c r="J153" s="796"/>
      <c r="K153" s="796"/>
      <c r="L153" s="796"/>
      <c r="M153" s="796"/>
      <c r="N153" s="796"/>
      <c r="O153" s="796"/>
      <c r="P153" s="796"/>
      <c r="Q153" s="796"/>
      <c r="R153" s="796"/>
      <c r="S153" s="796"/>
      <c r="T153" s="796"/>
      <c r="U153" s="796"/>
      <c r="V153" s="796"/>
      <c r="W153" s="796"/>
      <c r="X153" s="796"/>
      <c r="Y153" s="796"/>
      <c r="Z153" s="796"/>
      <c r="AA153" s="796"/>
      <c r="AB153" s="796"/>
      <c r="AC153" s="796"/>
      <c r="AD153" s="796"/>
      <c r="AE153" s="796"/>
      <c r="AF153" s="796"/>
      <c r="AG153" s="796"/>
      <c r="AH153" s="796"/>
      <c r="AI153" s="796"/>
      <c r="AJ153" s="796"/>
      <c r="AK153" s="796"/>
      <c r="AL153" s="796"/>
      <c r="AM153" s="796"/>
      <c r="AN153" s="796"/>
      <c r="AO153" s="796"/>
      <c r="AP153" s="796"/>
      <c r="AQ153" s="796"/>
      <c r="AR153" s="796"/>
      <c r="AS153" s="796"/>
      <c r="AT153" s="796"/>
      <c r="AU153" s="796"/>
    </row>
    <row r="154" spans="1:47" ht="13.5">
      <c r="A154" s="796"/>
      <c r="B154" s="796"/>
      <c r="C154" s="796"/>
      <c r="D154" s="796"/>
      <c r="E154" s="796"/>
      <c r="F154" s="796"/>
      <c r="G154" s="796"/>
      <c r="H154" s="796"/>
      <c r="I154" s="796"/>
      <c r="J154" s="796"/>
      <c r="K154" s="796"/>
      <c r="L154" s="796"/>
      <c r="M154" s="796"/>
      <c r="N154" s="796"/>
      <c r="O154" s="796"/>
      <c r="P154" s="796"/>
      <c r="Q154" s="796"/>
      <c r="R154" s="796"/>
      <c r="S154" s="796"/>
      <c r="T154" s="796"/>
      <c r="U154" s="796"/>
      <c r="V154" s="796"/>
      <c r="W154" s="796"/>
      <c r="X154" s="796"/>
      <c r="Y154" s="796"/>
      <c r="Z154" s="796"/>
      <c r="AA154" s="796"/>
      <c r="AB154" s="796"/>
      <c r="AC154" s="796"/>
      <c r="AD154" s="796"/>
      <c r="AE154" s="796"/>
      <c r="AF154" s="796"/>
      <c r="AG154" s="796"/>
      <c r="AH154" s="796"/>
      <c r="AI154" s="796"/>
      <c r="AJ154" s="796"/>
      <c r="AK154" s="796"/>
      <c r="AL154" s="796"/>
      <c r="AM154" s="796"/>
      <c r="AN154" s="796"/>
      <c r="AO154" s="796"/>
      <c r="AP154" s="796"/>
      <c r="AQ154" s="796"/>
      <c r="AR154" s="796"/>
      <c r="AS154" s="796"/>
      <c r="AT154" s="796"/>
      <c r="AU154" s="796"/>
    </row>
    <row r="155" spans="1:47" ht="13.5">
      <c r="A155" s="796"/>
      <c r="B155" s="796"/>
      <c r="C155" s="796"/>
      <c r="D155" s="796"/>
      <c r="E155" s="796"/>
      <c r="F155" s="796"/>
      <c r="G155" s="796"/>
      <c r="H155" s="796"/>
      <c r="I155" s="796"/>
      <c r="J155" s="796"/>
      <c r="K155" s="796"/>
      <c r="L155" s="796"/>
      <c r="M155" s="796"/>
      <c r="N155" s="796"/>
      <c r="O155" s="796"/>
      <c r="P155" s="796"/>
      <c r="Q155" s="796"/>
      <c r="R155" s="796"/>
      <c r="S155" s="796"/>
      <c r="T155" s="796"/>
      <c r="U155" s="796"/>
      <c r="V155" s="796"/>
      <c r="W155" s="796"/>
      <c r="X155" s="796"/>
      <c r="Y155" s="796"/>
      <c r="Z155" s="796"/>
      <c r="AA155" s="796"/>
      <c r="AB155" s="796"/>
      <c r="AC155" s="796"/>
      <c r="AD155" s="796"/>
      <c r="AE155" s="796"/>
      <c r="AF155" s="796"/>
      <c r="AG155" s="796"/>
      <c r="AH155" s="796"/>
      <c r="AI155" s="796"/>
      <c r="AJ155" s="796"/>
      <c r="AK155" s="796"/>
      <c r="AL155" s="796"/>
      <c r="AM155" s="796"/>
      <c r="AN155" s="796"/>
      <c r="AO155" s="796"/>
      <c r="AP155" s="796"/>
      <c r="AQ155" s="796"/>
      <c r="AR155" s="796"/>
      <c r="AS155" s="796"/>
      <c r="AT155" s="796"/>
      <c r="AU155" s="796"/>
    </row>
    <row r="156" spans="1:47" ht="13.5">
      <c r="A156" s="796"/>
      <c r="B156" s="796"/>
      <c r="C156" s="796"/>
      <c r="D156" s="796"/>
      <c r="E156" s="796"/>
      <c r="F156" s="796"/>
      <c r="G156" s="796"/>
      <c r="H156" s="796"/>
      <c r="I156" s="796"/>
      <c r="J156" s="796"/>
      <c r="K156" s="796"/>
      <c r="L156" s="796"/>
      <c r="M156" s="796"/>
      <c r="N156" s="796"/>
      <c r="O156" s="796"/>
      <c r="P156" s="796"/>
      <c r="Q156" s="796"/>
      <c r="R156" s="796"/>
      <c r="S156" s="796"/>
      <c r="T156" s="796"/>
      <c r="U156" s="796"/>
      <c r="V156" s="796"/>
      <c r="W156" s="796"/>
      <c r="X156" s="796"/>
      <c r="Y156" s="796"/>
      <c r="Z156" s="796"/>
      <c r="AA156" s="796"/>
      <c r="AB156" s="796"/>
      <c r="AC156" s="796"/>
      <c r="AD156" s="796"/>
      <c r="AE156" s="796"/>
      <c r="AF156" s="796"/>
      <c r="AG156" s="796"/>
      <c r="AH156" s="796"/>
      <c r="AI156" s="796"/>
      <c r="AJ156" s="796"/>
      <c r="AK156" s="796"/>
      <c r="AL156" s="796"/>
      <c r="AM156" s="796"/>
      <c r="AN156" s="796"/>
      <c r="AO156" s="796"/>
      <c r="AP156" s="796"/>
      <c r="AQ156" s="796"/>
      <c r="AR156" s="796"/>
      <c r="AS156" s="796"/>
      <c r="AT156" s="796"/>
      <c r="AU156" s="796"/>
    </row>
    <row r="157" spans="1:47" ht="13.5">
      <c r="A157" s="796"/>
      <c r="B157" s="796"/>
      <c r="C157" s="796"/>
      <c r="D157" s="796"/>
      <c r="E157" s="796"/>
      <c r="F157" s="796"/>
      <c r="G157" s="796"/>
      <c r="H157" s="796"/>
      <c r="I157" s="796"/>
      <c r="J157" s="796"/>
      <c r="K157" s="796"/>
      <c r="L157" s="796"/>
      <c r="M157" s="796"/>
      <c r="N157" s="796"/>
      <c r="O157" s="796"/>
      <c r="P157" s="796"/>
      <c r="Q157" s="796"/>
      <c r="R157" s="796"/>
      <c r="S157" s="796"/>
      <c r="T157" s="796"/>
      <c r="U157" s="796"/>
      <c r="V157" s="796"/>
      <c r="W157" s="796"/>
      <c r="X157" s="796"/>
      <c r="Y157" s="796"/>
      <c r="Z157" s="796"/>
      <c r="AA157" s="796"/>
      <c r="AB157" s="796"/>
      <c r="AC157" s="796"/>
      <c r="AD157" s="796"/>
      <c r="AE157" s="796"/>
      <c r="AF157" s="796"/>
      <c r="AG157" s="796"/>
      <c r="AH157" s="796"/>
      <c r="AI157" s="796"/>
      <c r="AJ157" s="796"/>
      <c r="AK157" s="796"/>
      <c r="AL157" s="796"/>
      <c r="AM157" s="796"/>
      <c r="AN157" s="796"/>
      <c r="AO157" s="796"/>
      <c r="AP157" s="796"/>
      <c r="AQ157" s="796"/>
      <c r="AR157" s="796"/>
      <c r="AS157" s="796"/>
      <c r="AT157" s="796"/>
      <c r="AU157" s="796"/>
    </row>
    <row r="158" spans="1:47" ht="13.5">
      <c r="A158" s="796"/>
      <c r="B158" s="796"/>
      <c r="C158" s="796"/>
      <c r="D158" s="796"/>
      <c r="E158" s="796"/>
      <c r="F158" s="796"/>
      <c r="G158" s="796"/>
      <c r="H158" s="796"/>
      <c r="I158" s="796"/>
      <c r="J158" s="796"/>
      <c r="K158" s="796"/>
      <c r="L158" s="796"/>
      <c r="M158" s="796"/>
      <c r="N158" s="796"/>
      <c r="O158" s="796"/>
      <c r="P158" s="796"/>
      <c r="Q158" s="796"/>
      <c r="R158" s="796"/>
      <c r="S158" s="796"/>
      <c r="T158" s="796"/>
      <c r="U158" s="796"/>
      <c r="V158" s="796"/>
      <c r="W158" s="796"/>
      <c r="X158" s="796"/>
      <c r="Y158" s="796"/>
      <c r="Z158" s="796"/>
      <c r="AA158" s="796"/>
      <c r="AB158" s="796"/>
      <c r="AC158" s="796"/>
      <c r="AD158" s="796"/>
      <c r="AE158" s="796"/>
      <c r="AF158" s="796"/>
      <c r="AG158" s="796"/>
      <c r="AH158" s="796"/>
      <c r="AI158" s="796"/>
      <c r="AJ158" s="796"/>
      <c r="AK158" s="796"/>
      <c r="AL158" s="796"/>
      <c r="AM158" s="796"/>
      <c r="AN158" s="796"/>
      <c r="AO158" s="796"/>
      <c r="AP158" s="796"/>
      <c r="AQ158" s="796"/>
      <c r="AR158" s="796"/>
      <c r="AS158" s="796"/>
      <c r="AT158" s="796"/>
      <c r="AU158" s="796"/>
    </row>
    <row r="159" spans="1:47" ht="13.5">
      <c r="A159" s="796"/>
      <c r="B159" s="796"/>
      <c r="C159" s="796"/>
      <c r="D159" s="796"/>
      <c r="E159" s="796"/>
      <c r="F159" s="796"/>
      <c r="G159" s="796"/>
      <c r="H159" s="796"/>
      <c r="I159" s="796"/>
      <c r="J159" s="796"/>
      <c r="K159" s="796"/>
      <c r="L159" s="796"/>
      <c r="M159" s="796"/>
      <c r="N159" s="796"/>
      <c r="O159" s="796"/>
      <c r="P159" s="796"/>
      <c r="Q159" s="796"/>
      <c r="R159" s="796"/>
      <c r="S159" s="796"/>
      <c r="T159" s="796"/>
      <c r="U159" s="796"/>
      <c r="V159" s="796"/>
      <c r="W159" s="796"/>
      <c r="X159" s="796"/>
      <c r="Y159" s="796"/>
      <c r="Z159" s="796"/>
      <c r="AA159" s="796"/>
      <c r="AB159" s="796"/>
      <c r="AC159" s="796"/>
      <c r="AD159" s="796"/>
      <c r="AE159" s="796"/>
      <c r="AF159" s="796"/>
      <c r="AG159" s="796"/>
      <c r="AH159" s="796"/>
      <c r="AI159" s="796"/>
      <c r="AJ159" s="796"/>
      <c r="AK159" s="796"/>
      <c r="AL159" s="796"/>
      <c r="AM159" s="796"/>
      <c r="AN159" s="796"/>
      <c r="AO159" s="796"/>
      <c r="AP159" s="796"/>
      <c r="AQ159" s="796"/>
      <c r="AR159" s="796"/>
      <c r="AS159" s="796"/>
      <c r="AT159" s="796"/>
      <c r="AU159" s="796"/>
    </row>
    <row r="160" spans="1:47" ht="13.5">
      <c r="A160" s="796"/>
      <c r="B160" s="796"/>
      <c r="C160" s="796"/>
      <c r="D160" s="796"/>
      <c r="E160" s="796"/>
      <c r="F160" s="796"/>
      <c r="G160" s="796"/>
      <c r="H160" s="796"/>
      <c r="I160" s="796"/>
      <c r="J160" s="796"/>
      <c r="K160" s="796"/>
      <c r="L160" s="796"/>
      <c r="M160" s="796"/>
      <c r="N160" s="796"/>
      <c r="O160" s="796"/>
      <c r="P160" s="796"/>
      <c r="Q160" s="796"/>
      <c r="R160" s="796"/>
      <c r="S160" s="796"/>
      <c r="T160" s="796"/>
      <c r="U160" s="796"/>
      <c r="V160" s="796"/>
      <c r="W160" s="796"/>
      <c r="X160" s="796"/>
      <c r="Y160" s="796"/>
      <c r="Z160" s="796"/>
      <c r="AA160" s="796"/>
      <c r="AB160" s="796"/>
      <c r="AC160" s="796"/>
      <c r="AD160" s="796"/>
      <c r="AE160" s="796"/>
      <c r="AF160" s="796"/>
      <c r="AG160" s="796"/>
      <c r="AH160" s="796"/>
      <c r="AI160" s="796"/>
      <c r="AJ160" s="796"/>
      <c r="AK160" s="796"/>
      <c r="AL160" s="796"/>
      <c r="AM160" s="796"/>
      <c r="AN160" s="796"/>
      <c r="AO160" s="796"/>
      <c r="AP160" s="796"/>
      <c r="AQ160" s="796"/>
      <c r="AR160" s="796"/>
      <c r="AS160" s="796"/>
      <c r="AT160" s="796"/>
      <c r="AU160" s="796"/>
    </row>
    <row r="161" spans="1:47" ht="13.5">
      <c r="A161" s="796"/>
      <c r="B161" s="796"/>
      <c r="C161" s="796"/>
      <c r="D161" s="796"/>
      <c r="E161" s="796"/>
      <c r="F161" s="796"/>
      <c r="G161" s="796"/>
      <c r="H161" s="796"/>
      <c r="I161" s="796"/>
      <c r="J161" s="796"/>
      <c r="K161" s="796"/>
      <c r="L161" s="796"/>
      <c r="M161" s="796"/>
      <c r="N161" s="796"/>
      <c r="O161" s="796"/>
      <c r="P161" s="796"/>
      <c r="Q161" s="796"/>
      <c r="R161" s="796"/>
      <c r="S161" s="796"/>
      <c r="T161" s="796"/>
      <c r="U161" s="796"/>
      <c r="V161" s="796"/>
      <c r="W161" s="796"/>
      <c r="X161" s="796"/>
      <c r="Y161" s="796"/>
      <c r="Z161" s="796"/>
      <c r="AA161" s="796"/>
      <c r="AB161" s="796"/>
      <c r="AC161" s="796"/>
      <c r="AD161" s="796"/>
      <c r="AE161" s="796"/>
      <c r="AF161" s="796"/>
      <c r="AG161" s="796"/>
      <c r="AH161" s="796"/>
      <c r="AI161" s="796"/>
      <c r="AJ161" s="796"/>
      <c r="AK161" s="796"/>
      <c r="AL161" s="796"/>
      <c r="AM161" s="796"/>
      <c r="AN161" s="796"/>
      <c r="AO161" s="796"/>
      <c r="AP161" s="796"/>
      <c r="AQ161" s="796"/>
      <c r="AR161" s="796"/>
      <c r="AS161" s="796"/>
      <c r="AT161" s="796"/>
      <c r="AU161" s="796"/>
    </row>
    <row r="162" spans="1:47" ht="13.5">
      <c r="A162" s="796"/>
      <c r="B162" s="796"/>
      <c r="C162" s="796"/>
      <c r="D162" s="796"/>
      <c r="E162" s="796"/>
      <c r="F162" s="796"/>
      <c r="G162" s="796"/>
      <c r="H162" s="796"/>
      <c r="I162" s="796"/>
      <c r="J162" s="796"/>
      <c r="K162" s="796"/>
      <c r="L162" s="796"/>
      <c r="M162" s="796"/>
      <c r="N162" s="796"/>
      <c r="O162" s="796"/>
      <c r="P162" s="796"/>
      <c r="Q162" s="796"/>
      <c r="R162" s="796"/>
      <c r="S162" s="796"/>
      <c r="T162" s="796"/>
      <c r="U162" s="796"/>
      <c r="V162" s="796"/>
      <c r="W162" s="796"/>
      <c r="X162" s="796"/>
      <c r="Y162" s="796"/>
      <c r="Z162" s="796"/>
      <c r="AA162" s="796"/>
      <c r="AB162" s="796"/>
      <c r="AC162" s="796"/>
      <c r="AD162" s="796"/>
      <c r="AE162" s="796"/>
      <c r="AF162" s="796"/>
      <c r="AG162" s="796"/>
      <c r="AH162" s="796"/>
      <c r="AI162" s="796"/>
      <c r="AJ162" s="796"/>
      <c r="AK162" s="796"/>
      <c r="AL162" s="796"/>
      <c r="AM162" s="796"/>
      <c r="AN162" s="796"/>
      <c r="AO162" s="796"/>
      <c r="AP162" s="796"/>
      <c r="AQ162" s="796"/>
      <c r="AR162" s="796"/>
      <c r="AS162" s="796"/>
      <c r="AT162" s="796"/>
      <c r="AU162" s="796"/>
    </row>
    <row r="163" spans="1:47" ht="13.5">
      <c r="A163" s="796"/>
      <c r="B163" s="796"/>
      <c r="C163" s="796"/>
      <c r="D163" s="796"/>
      <c r="E163" s="796"/>
      <c r="F163" s="796"/>
      <c r="G163" s="796"/>
      <c r="H163" s="796"/>
      <c r="I163" s="796"/>
      <c r="J163" s="796"/>
      <c r="K163" s="796"/>
      <c r="L163" s="796"/>
      <c r="M163" s="796"/>
      <c r="N163" s="796"/>
      <c r="O163" s="796"/>
      <c r="P163" s="796"/>
      <c r="Q163" s="796"/>
      <c r="R163" s="796"/>
      <c r="S163" s="796"/>
      <c r="T163" s="796"/>
      <c r="U163" s="796"/>
      <c r="V163" s="796"/>
      <c r="W163" s="796"/>
      <c r="X163" s="796"/>
      <c r="Y163" s="796"/>
      <c r="Z163" s="796"/>
      <c r="AA163" s="796"/>
      <c r="AB163" s="796"/>
      <c r="AC163" s="796"/>
      <c r="AD163" s="796"/>
      <c r="AE163" s="796"/>
      <c r="AF163" s="796"/>
      <c r="AG163" s="796"/>
      <c r="AH163" s="796"/>
      <c r="AI163" s="796"/>
      <c r="AJ163" s="796"/>
      <c r="AK163" s="796"/>
      <c r="AL163" s="796"/>
      <c r="AM163" s="796"/>
      <c r="AN163" s="796"/>
      <c r="AO163" s="796"/>
      <c r="AP163" s="796"/>
      <c r="AQ163" s="796"/>
      <c r="AR163" s="796"/>
      <c r="AS163" s="796"/>
      <c r="AT163" s="796"/>
      <c r="AU163" s="796"/>
    </row>
    <row r="164" spans="1:47" ht="13.5">
      <c r="A164" s="796"/>
      <c r="B164" s="796"/>
      <c r="C164" s="796"/>
      <c r="D164" s="796"/>
      <c r="E164" s="796"/>
      <c r="F164" s="796"/>
      <c r="G164" s="796"/>
      <c r="H164" s="796"/>
      <c r="I164" s="796"/>
      <c r="J164" s="796"/>
      <c r="K164" s="796"/>
      <c r="L164" s="796"/>
      <c r="M164" s="796"/>
      <c r="N164" s="796"/>
      <c r="O164" s="796"/>
      <c r="P164" s="796"/>
      <c r="Q164" s="796"/>
      <c r="R164" s="796"/>
      <c r="S164" s="796"/>
      <c r="T164" s="796"/>
      <c r="U164" s="796"/>
      <c r="V164" s="796"/>
      <c r="W164" s="796"/>
      <c r="X164" s="796"/>
      <c r="Y164" s="796"/>
      <c r="Z164" s="796"/>
      <c r="AA164" s="796"/>
      <c r="AB164" s="796"/>
      <c r="AC164" s="796"/>
      <c r="AD164" s="796"/>
      <c r="AE164" s="796"/>
      <c r="AF164" s="796"/>
      <c r="AG164" s="796"/>
      <c r="AH164" s="796"/>
      <c r="AI164" s="796"/>
      <c r="AJ164" s="796"/>
      <c r="AK164" s="796"/>
      <c r="AL164" s="796"/>
      <c r="AM164" s="796"/>
      <c r="AN164" s="796"/>
      <c r="AO164" s="796"/>
      <c r="AP164" s="796"/>
      <c r="AQ164" s="796"/>
      <c r="AR164" s="796"/>
      <c r="AS164" s="796"/>
      <c r="AT164" s="796"/>
      <c r="AU164" s="796"/>
    </row>
    <row r="165" spans="1:47" ht="13.5">
      <c r="A165" s="796"/>
      <c r="B165" s="796"/>
      <c r="C165" s="796"/>
      <c r="D165" s="796"/>
      <c r="E165" s="796"/>
      <c r="F165" s="796"/>
      <c r="G165" s="796"/>
      <c r="H165" s="796"/>
      <c r="I165" s="796"/>
      <c r="J165" s="796"/>
      <c r="K165" s="796"/>
      <c r="L165" s="796"/>
      <c r="M165" s="796"/>
      <c r="N165" s="796"/>
      <c r="O165" s="796"/>
      <c r="P165" s="796"/>
      <c r="Q165" s="796"/>
      <c r="R165" s="796"/>
      <c r="S165" s="796"/>
      <c r="T165" s="796"/>
      <c r="U165" s="796"/>
      <c r="V165" s="796"/>
      <c r="W165" s="796"/>
      <c r="X165" s="796"/>
      <c r="Y165" s="796"/>
      <c r="Z165" s="796"/>
      <c r="AA165" s="796"/>
      <c r="AB165" s="796"/>
      <c r="AC165" s="796"/>
      <c r="AD165" s="796"/>
      <c r="AE165" s="796"/>
      <c r="AF165" s="796"/>
      <c r="AG165" s="796"/>
      <c r="AH165" s="796"/>
      <c r="AI165" s="796"/>
      <c r="AJ165" s="796"/>
      <c r="AK165" s="796"/>
      <c r="AL165" s="796"/>
      <c r="AM165" s="796"/>
      <c r="AN165" s="796"/>
      <c r="AO165" s="796"/>
      <c r="AP165" s="796"/>
      <c r="AQ165" s="796"/>
      <c r="AR165" s="796"/>
      <c r="AS165" s="796"/>
      <c r="AT165" s="796"/>
      <c r="AU165" s="796"/>
    </row>
    <row r="166" spans="1:47" ht="13.5">
      <c r="A166" s="796"/>
      <c r="B166" s="796"/>
      <c r="C166" s="796"/>
      <c r="D166" s="796"/>
      <c r="E166" s="796"/>
      <c r="F166" s="796"/>
      <c r="G166" s="796"/>
      <c r="H166" s="796"/>
      <c r="I166" s="796"/>
      <c r="J166" s="796"/>
      <c r="K166" s="796"/>
      <c r="L166" s="796"/>
      <c r="M166" s="796"/>
      <c r="N166" s="796"/>
      <c r="O166" s="796"/>
      <c r="P166" s="796"/>
      <c r="Q166" s="796"/>
      <c r="R166" s="796"/>
      <c r="S166" s="796"/>
      <c r="T166" s="796"/>
      <c r="U166" s="796"/>
      <c r="V166" s="796"/>
      <c r="W166" s="796"/>
      <c r="X166" s="796"/>
      <c r="Y166" s="796"/>
      <c r="Z166" s="796"/>
      <c r="AA166" s="796"/>
      <c r="AB166" s="796"/>
      <c r="AC166" s="796"/>
      <c r="AD166" s="796"/>
      <c r="AE166" s="796"/>
      <c r="AF166" s="796"/>
      <c r="AG166" s="796"/>
      <c r="AH166" s="796"/>
      <c r="AI166" s="796"/>
      <c r="AJ166" s="796"/>
      <c r="AK166" s="796"/>
      <c r="AL166" s="796"/>
      <c r="AM166" s="796"/>
      <c r="AN166" s="796"/>
      <c r="AO166" s="796"/>
      <c r="AP166" s="796"/>
      <c r="AQ166" s="796"/>
      <c r="AR166" s="796"/>
      <c r="AS166" s="796"/>
      <c r="AT166" s="796"/>
      <c r="AU166" s="796"/>
    </row>
    <row r="167" spans="1:47" ht="13.5">
      <c r="A167" s="796"/>
      <c r="B167" s="796"/>
      <c r="C167" s="796"/>
      <c r="D167" s="796"/>
      <c r="E167" s="796"/>
      <c r="F167" s="796"/>
      <c r="G167" s="796"/>
      <c r="H167" s="796"/>
      <c r="I167" s="796"/>
      <c r="J167" s="796"/>
      <c r="K167" s="796"/>
      <c r="L167" s="796"/>
      <c r="M167" s="796"/>
      <c r="N167" s="796"/>
      <c r="O167" s="796"/>
      <c r="P167" s="796"/>
      <c r="Q167" s="796"/>
      <c r="R167" s="796"/>
      <c r="S167" s="796"/>
      <c r="T167" s="796"/>
      <c r="U167" s="796"/>
      <c r="V167" s="796"/>
      <c r="W167" s="796"/>
      <c r="X167" s="796"/>
      <c r="Y167" s="796"/>
      <c r="Z167" s="796"/>
      <c r="AA167" s="796"/>
      <c r="AB167" s="796"/>
      <c r="AC167" s="796"/>
      <c r="AD167" s="796"/>
      <c r="AE167" s="796"/>
      <c r="AF167" s="796"/>
      <c r="AG167" s="796"/>
      <c r="AH167" s="796"/>
      <c r="AI167" s="796"/>
      <c r="AJ167" s="796"/>
      <c r="AK167" s="796"/>
      <c r="AL167" s="796"/>
      <c r="AM167" s="796"/>
      <c r="AN167" s="796"/>
      <c r="AO167" s="796"/>
      <c r="AP167" s="796"/>
      <c r="AQ167" s="796"/>
      <c r="AR167" s="796"/>
      <c r="AS167" s="796"/>
      <c r="AT167" s="796"/>
      <c r="AU167" s="796"/>
    </row>
    <row r="168" spans="1:47" ht="13.5">
      <c r="A168" s="796"/>
      <c r="B168" s="796"/>
      <c r="C168" s="796"/>
      <c r="D168" s="796"/>
      <c r="E168" s="796"/>
      <c r="F168" s="796"/>
      <c r="G168" s="796"/>
      <c r="H168" s="796"/>
      <c r="I168" s="796"/>
      <c r="J168" s="796"/>
      <c r="K168" s="796"/>
      <c r="L168" s="796"/>
      <c r="M168" s="796"/>
      <c r="N168" s="796"/>
      <c r="O168" s="796"/>
      <c r="P168" s="796"/>
      <c r="Q168" s="796"/>
      <c r="R168" s="796"/>
      <c r="S168" s="796"/>
      <c r="T168" s="796"/>
      <c r="U168" s="796"/>
      <c r="V168" s="796"/>
      <c r="W168" s="796"/>
      <c r="X168" s="796"/>
      <c r="Y168" s="796"/>
      <c r="Z168" s="796"/>
      <c r="AA168" s="796"/>
      <c r="AB168" s="796"/>
      <c r="AC168" s="796"/>
      <c r="AD168" s="796"/>
      <c r="AE168" s="796"/>
      <c r="AF168" s="796"/>
      <c r="AG168" s="796"/>
      <c r="AH168" s="796"/>
      <c r="AI168" s="796"/>
      <c r="AJ168" s="796"/>
      <c r="AK168" s="796"/>
      <c r="AL168" s="796"/>
      <c r="AM168" s="796"/>
      <c r="AN168" s="796"/>
      <c r="AO168" s="796"/>
      <c r="AP168" s="796"/>
      <c r="AQ168" s="796"/>
      <c r="AR168" s="796"/>
      <c r="AS168" s="796"/>
      <c r="AT168" s="796"/>
      <c r="AU168" s="796"/>
    </row>
    <row r="169" spans="1:47" ht="13.5">
      <c r="A169" s="796"/>
      <c r="B169" s="796"/>
      <c r="C169" s="796"/>
      <c r="D169" s="796"/>
      <c r="E169" s="796"/>
      <c r="F169" s="796"/>
      <c r="G169" s="796"/>
      <c r="H169" s="796"/>
      <c r="I169" s="796"/>
      <c r="J169" s="796"/>
      <c r="K169" s="796"/>
      <c r="L169" s="796"/>
      <c r="M169" s="796"/>
      <c r="N169" s="796"/>
      <c r="O169" s="796"/>
      <c r="P169" s="796"/>
      <c r="Q169" s="796"/>
      <c r="R169" s="796"/>
      <c r="S169" s="796"/>
      <c r="T169" s="796"/>
      <c r="U169" s="796"/>
      <c r="V169" s="796"/>
      <c r="W169" s="796"/>
      <c r="X169" s="796"/>
      <c r="Y169" s="796"/>
      <c r="Z169" s="796"/>
      <c r="AA169" s="796"/>
      <c r="AB169" s="796"/>
      <c r="AC169" s="796"/>
      <c r="AD169" s="796"/>
      <c r="AE169" s="796"/>
      <c r="AF169" s="796"/>
      <c r="AG169" s="796"/>
      <c r="AH169" s="796"/>
      <c r="AI169" s="796"/>
      <c r="AJ169" s="796"/>
      <c r="AK169" s="796"/>
      <c r="AL169" s="796"/>
      <c r="AM169" s="796"/>
      <c r="AN169" s="796"/>
      <c r="AO169" s="796"/>
      <c r="AP169" s="796"/>
      <c r="AQ169" s="796"/>
      <c r="AR169" s="796"/>
      <c r="AS169" s="796"/>
      <c r="AT169" s="796"/>
      <c r="AU169" s="796"/>
    </row>
    <row r="170" spans="1:47" ht="13.5">
      <c r="A170" s="796"/>
      <c r="B170" s="796"/>
      <c r="C170" s="796"/>
      <c r="D170" s="796"/>
      <c r="E170" s="796"/>
      <c r="F170" s="796"/>
      <c r="G170" s="796"/>
      <c r="H170" s="796"/>
      <c r="I170" s="796"/>
      <c r="J170" s="796"/>
      <c r="K170" s="796"/>
      <c r="L170" s="796"/>
      <c r="M170" s="796"/>
      <c r="N170" s="796"/>
      <c r="O170" s="796"/>
      <c r="P170" s="796"/>
      <c r="Q170" s="796"/>
      <c r="R170" s="796"/>
      <c r="S170" s="796"/>
      <c r="T170" s="796"/>
      <c r="U170" s="796"/>
      <c r="V170" s="796"/>
      <c r="W170" s="796"/>
      <c r="X170" s="796"/>
      <c r="Y170" s="796"/>
      <c r="Z170" s="796"/>
      <c r="AA170" s="796"/>
      <c r="AB170" s="796"/>
      <c r="AC170" s="796"/>
      <c r="AD170" s="796"/>
      <c r="AE170" s="796"/>
      <c r="AF170" s="796"/>
      <c r="AG170" s="796"/>
      <c r="AH170" s="796"/>
      <c r="AI170" s="796"/>
      <c r="AJ170" s="796"/>
      <c r="AK170" s="796"/>
      <c r="AL170" s="796"/>
      <c r="AM170" s="796"/>
      <c r="AN170" s="796"/>
      <c r="AO170" s="796"/>
      <c r="AP170" s="796"/>
      <c r="AQ170" s="796"/>
      <c r="AR170" s="796"/>
      <c r="AS170" s="796"/>
      <c r="AT170" s="796"/>
      <c r="AU170" s="796"/>
    </row>
    <row r="171" spans="1:47" ht="13.5">
      <c r="A171" s="796"/>
      <c r="B171" s="796"/>
      <c r="C171" s="796"/>
      <c r="D171" s="796"/>
      <c r="E171" s="796"/>
      <c r="F171" s="796"/>
      <c r="G171" s="796"/>
      <c r="H171" s="796"/>
      <c r="I171" s="796"/>
      <c r="J171" s="796"/>
      <c r="K171" s="796"/>
      <c r="L171" s="796"/>
      <c r="M171" s="796"/>
      <c r="N171" s="796"/>
      <c r="O171" s="796"/>
      <c r="P171" s="796"/>
      <c r="Q171" s="796"/>
      <c r="R171" s="796"/>
      <c r="S171" s="796"/>
      <c r="T171" s="796"/>
      <c r="U171" s="796"/>
      <c r="V171" s="796"/>
      <c r="W171" s="796"/>
      <c r="X171" s="796"/>
      <c r="Y171" s="796"/>
      <c r="Z171" s="796"/>
      <c r="AA171" s="796"/>
      <c r="AB171" s="796"/>
      <c r="AC171" s="796"/>
      <c r="AD171" s="796"/>
      <c r="AE171" s="796"/>
      <c r="AF171" s="796"/>
      <c r="AG171" s="796"/>
      <c r="AH171" s="796"/>
      <c r="AI171" s="796"/>
      <c r="AJ171" s="796"/>
      <c r="AK171" s="796"/>
      <c r="AL171" s="796"/>
      <c r="AM171" s="796"/>
      <c r="AN171" s="796"/>
      <c r="AO171" s="796"/>
      <c r="AP171" s="796"/>
      <c r="AQ171" s="796"/>
      <c r="AR171" s="796"/>
      <c r="AS171" s="796"/>
      <c r="AT171" s="796"/>
      <c r="AU171" s="796"/>
    </row>
    <row r="172" spans="1:47" ht="13.5">
      <c r="A172" s="796"/>
      <c r="B172" s="796"/>
      <c r="C172" s="796"/>
      <c r="D172" s="796"/>
      <c r="E172" s="796"/>
      <c r="F172" s="796"/>
      <c r="G172" s="796"/>
      <c r="H172" s="796"/>
      <c r="I172" s="796"/>
      <c r="J172" s="796"/>
      <c r="K172" s="796"/>
      <c r="L172" s="796"/>
      <c r="M172" s="796"/>
      <c r="N172" s="796"/>
      <c r="O172" s="796"/>
      <c r="P172" s="796"/>
      <c r="Q172" s="796"/>
      <c r="R172" s="796"/>
      <c r="S172" s="796"/>
      <c r="T172" s="796"/>
      <c r="U172" s="796"/>
      <c r="V172" s="796"/>
      <c r="W172" s="796"/>
      <c r="X172" s="796"/>
      <c r="Y172" s="796"/>
      <c r="Z172" s="796"/>
      <c r="AA172" s="796"/>
      <c r="AB172" s="796"/>
      <c r="AC172" s="796"/>
      <c r="AD172" s="796"/>
      <c r="AE172" s="796"/>
      <c r="AF172" s="796"/>
      <c r="AG172" s="796"/>
      <c r="AH172" s="796"/>
      <c r="AI172" s="796"/>
      <c r="AJ172" s="796"/>
      <c r="AK172" s="796"/>
      <c r="AL172" s="796"/>
      <c r="AM172" s="796"/>
      <c r="AN172" s="796"/>
      <c r="AO172" s="796"/>
      <c r="AP172" s="796"/>
      <c r="AQ172" s="796"/>
      <c r="AR172" s="796"/>
      <c r="AS172" s="796"/>
      <c r="AT172" s="796"/>
      <c r="AU172" s="796"/>
    </row>
    <row r="173" spans="1:47" ht="13.5">
      <c r="A173" s="796"/>
      <c r="B173" s="796"/>
      <c r="C173" s="796"/>
      <c r="D173" s="796"/>
      <c r="E173" s="796"/>
      <c r="F173" s="796"/>
      <c r="G173" s="796"/>
      <c r="H173" s="796"/>
      <c r="I173" s="796"/>
      <c r="J173" s="796"/>
      <c r="K173" s="796"/>
      <c r="L173" s="796"/>
      <c r="M173" s="796"/>
      <c r="N173" s="796"/>
      <c r="O173" s="796"/>
      <c r="P173" s="796"/>
      <c r="Q173" s="796"/>
      <c r="R173" s="796"/>
      <c r="S173" s="796"/>
      <c r="T173" s="796"/>
      <c r="U173" s="796"/>
      <c r="V173" s="796"/>
      <c r="W173" s="796"/>
      <c r="X173" s="796"/>
      <c r="Y173" s="796"/>
      <c r="Z173" s="796"/>
      <c r="AA173" s="796"/>
      <c r="AB173" s="796"/>
      <c r="AC173" s="796"/>
      <c r="AD173" s="796"/>
      <c r="AE173" s="796"/>
      <c r="AF173" s="796"/>
      <c r="AG173" s="796"/>
      <c r="AH173" s="796"/>
      <c r="AI173" s="796"/>
      <c r="AJ173" s="796"/>
      <c r="AK173" s="796"/>
      <c r="AL173" s="796"/>
      <c r="AM173" s="796"/>
      <c r="AN173" s="796"/>
      <c r="AO173" s="796"/>
      <c r="AP173" s="796"/>
      <c r="AQ173" s="796"/>
      <c r="AR173" s="796"/>
      <c r="AS173" s="796"/>
      <c r="AT173" s="796"/>
      <c r="AU173" s="796"/>
    </row>
    <row r="174" spans="1:47" ht="13.5">
      <c r="A174" s="796"/>
      <c r="B174" s="796"/>
      <c r="C174" s="796"/>
      <c r="D174" s="796"/>
      <c r="E174" s="796"/>
      <c r="F174" s="796"/>
      <c r="G174" s="796"/>
      <c r="H174" s="796"/>
      <c r="I174" s="796"/>
      <c r="J174" s="796"/>
      <c r="K174" s="796"/>
      <c r="L174" s="796"/>
      <c r="M174" s="796"/>
      <c r="N174" s="796"/>
      <c r="O174" s="796"/>
      <c r="P174" s="796"/>
      <c r="Q174" s="796"/>
      <c r="R174" s="796"/>
      <c r="S174" s="796"/>
      <c r="T174" s="796"/>
      <c r="U174" s="796"/>
      <c r="V174" s="796"/>
      <c r="W174" s="796"/>
      <c r="X174" s="796"/>
      <c r="Y174" s="796"/>
      <c r="Z174" s="796"/>
      <c r="AA174" s="796"/>
      <c r="AB174" s="796"/>
      <c r="AC174" s="796"/>
      <c r="AD174" s="796"/>
      <c r="AE174" s="796"/>
      <c r="AF174" s="796"/>
      <c r="AG174" s="796"/>
      <c r="AH174" s="796"/>
      <c r="AI174" s="796"/>
      <c r="AJ174" s="796"/>
      <c r="AK174" s="796"/>
      <c r="AL174" s="796"/>
      <c r="AM174" s="796"/>
      <c r="AN174" s="796"/>
      <c r="AO174" s="796"/>
      <c r="AP174" s="796"/>
      <c r="AQ174" s="796"/>
      <c r="AR174" s="796"/>
      <c r="AS174" s="796"/>
      <c r="AT174" s="796"/>
      <c r="AU174" s="796"/>
    </row>
    <row r="175" spans="1:47" ht="13.5">
      <c r="A175" s="796"/>
      <c r="B175" s="796"/>
      <c r="C175" s="796"/>
      <c r="D175" s="796"/>
      <c r="E175" s="796"/>
      <c r="F175" s="796"/>
      <c r="G175" s="796"/>
      <c r="H175" s="796"/>
      <c r="I175" s="796"/>
      <c r="J175" s="796"/>
      <c r="K175" s="796"/>
      <c r="L175" s="796"/>
      <c r="M175" s="796"/>
      <c r="N175" s="796"/>
      <c r="O175" s="796"/>
      <c r="P175" s="796"/>
      <c r="Q175" s="796"/>
      <c r="R175" s="796"/>
      <c r="S175" s="796"/>
      <c r="T175" s="796"/>
      <c r="U175" s="796"/>
      <c r="V175" s="796"/>
      <c r="W175" s="796"/>
      <c r="X175" s="796"/>
      <c r="Y175" s="796"/>
      <c r="Z175" s="796"/>
      <c r="AA175" s="796"/>
      <c r="AB175" s="796"/>
      <c r="AC175" s="796"/>
      <c r="AD175" s="796"/>
      <c r="AE175" s="796"/>
      <c r="AF175" s="796"/>
      <c r="AG175" s="796"/>
      <c r="AH175" s="796"/>
      <c r="AI175" s="796"/>
      <c r="AJ175" s="796"/>
      <c r="AK175" s="796"/>
      <c r="AL175" s="796"/>
      <c r="AM175" s="796"/>
      <c r="AN175" s="796"/>
      <c r="AO175" s="796"/>
      <c r="AP175" s="796"/>
      <c r="AQ175" s="796"/>
      <c r="AR175" s="796"/>
      <c r="AS175" s="796"/>
      <c r="AT175" s="796"/>
      <c r="AU175" s="796"/>
    </row>
    <row r="176" spans="1:47" ht="13.5">
      <c r="A176" s="796"/>
      <c r="B176" s="796"/>
      <c r="C176" s="796"/>
      <c r="D176" s="796"/>
      <c r="E176" s="796"/>
      <c r="F176" s="796"/>
      <c r="G176" s="796"/>
      <c r="H176" s="796"/>
      <c r="I176" s="796"/>
      <c r="J176" s="796"/>
      <c r="K176" s="796"/>
      <c r="L176" s="796"/>
      <c r="M176" s="796"/>
      <c r="N176" s="796"/>
      <c r="O176" s="796"/>
      <c r="P176" s="796"/>
      <c r="Q176" s="796"/>
      <c r="R176" s="796"/>
      <c r="S176" s="796"/>
      <c r="T176" s="796"/>
      <c r="U176" s="796"/>
      <c r="V176" s="796"/>
      <c r="W176" s="796"/>
      <c r="X176" s="796"/>
      <c r="Y176" s="796"/>
      <c r="Z176" s="796"/>
      <c r="AA176" s="796"/>
      <c r="AB176" s="796"/>
      <c r="AC176" s="796"/>
      <c r="AD176" s="796"/>
      <c r="AE176" s="796"/>
      <c r="AF176" s="796"/>
      <c r="AG176" s="796"/>
      <c r="AH176" s="796"/>
      <c r="AI176" s="796"/>
      <c r="AJ176" s="796"/>
      <c r="AK176" s="796"/>
      <c r="AL176" s="796"/>
      <c r="AM176" s="796"/>
      <c r="AN176" s="796"/>
      <c r="AO176" s="796"/>
      <c r="AP176" s="796"/>
      <c r="AQ176" s="796"/>
      <c r="AR176" s="796"/>
      <c r="AS176" s="796"/>
      <c r="AT176" s="796"/>
      <c r="AU176" s="796"/>
    </row>
    <row r="177" spans="1:47" ht="13.5">
      <c r="A177" s="796"/>
      <c r="B177" s="796"/>
      <c r="C177" s="796"/>
      <c r="D177" s="796"/>
      <c r="E177" s="796"/>
      <c r="F177" s="796"/>
      <c r="G177" s="796"/>
      <c r="H177" s="796"/>
      <c r="I177" s="796"/>
      <c r="J177" s="796"/>
      <c r="K177" s="796"/>
      <c r="L177" s="796"/>
      <c r="M177" s="796"/>
      <c r="N177" s="796"/>
      <c r="O177" s="796"/>
      <c r="P177" s="796"/>
      <c r="Q177" s="796"/>
      <c r="R177" s="796"/>
      <c r="S177" s="796"/>
      <c r="T177" s="796"/>
      <c r="U177" s="796"/>
      <c r="V177" s="796"/>
      <c r="W177" s="796"/>
      <c r="X177" s="796"/>
      <c r="Y177" s="796"/>
      <c r="Z177" s="796"/>
      <c r="AA177" s="796"/>
      <c r="AB177" s="796"/>
      <c r="AC177" s="796"/>
      <c r="AD177" s="796"/>
      <c r="AE177" s="796"/>
      <c r="AF177" s="796"/>
      <c r="AG177" s="796"/>
      <c r="AH177" s="796"/>
      <c r="AI177" s="796"/>
      <c r="AJ177" s="796"/>
      <c r="AK177" s="796"/>
      <c r="AL177" s="796"/>
      <c r="AM177" s="796"/>
      <c r="AN177" s="796"/>
      <c r="AO177" s="796"/>
      <c r="AP177" s="796"/>
      <c r="AQ177" s="796"/>
      <c r="AR177" s="796"/>
      <c r="AS177" s="796"/>
      <c r="AT177" s="796"/>
      <c r="AU177" s="796"/>
    </row>
    <row r="178" spans="1:47" ht="13.5">
      <c r="A178" s="796"/>
      <c r="B178" s="796"/>
      <c r="C178" s="796"/>
      <c r="D178" s="796"/>
      <c r="E178" s="796"/>
      <c r="F178" s="796"/>
      <c r="G178" s="796"/>
      <c r="H178" s="796"/>
      <c r="I178" s="796"/>
      <c r="J178" s="796"/>
      <c r="K178" s="796"/>
      <c r="L178" s="796"/>
      <c r="M178" s="796"/>
      <c r="N178" s="796"/>
      <c r="O178" s="796"/>
      <c r="P178" s="796"/>
      <c r="Q178" s="796"/>
      <c r="R178" s="796"/>
      <c r="S178" s="796"/>
      <c r="T178" s="796"/>
      <c r="U178" s="796"/>
      <c r="V178" s="796"/>
      <c r="W178" s="796"/>
      <c r="X178" s="796"/>
      <c r="Y178" s="796"/>
      <c r="Z178" s="796"/>
      <c r="AA178" s="796"/>
      <c r="AB178" s="796"/>
      <c r="AC178" s="796"/>
      <c r="AD178" s="796"/>
      <c r="AE178" s="796"/>
      <c r="AF178" s="796"/>
      <c r="AG178" s="796"/>
      <c r="AH178" s="796"/>
      <c r="AI178" s="796"/>
      <c r="AJ178" s="796"/>
      <c r="AK178" s="796"/>
      <c r="AL178" s="796"/>
      <c r="AM178" s="796"/>
      <c r="AN178" s="796"/>
      <c r="AO178" s="796"/>
      <c r="AP178" s="796"/>
      <c r="AQ178" s="796"/>
      <c r="AR178" s="796"/>
      <c r="AS178" s="796"/>
      <c r="AT178" s="796"/>
      <c r="AU178" s="796"/>
    </row>
    <row r="179" spans="1:47" ht="13.5">
      <c r="A179" s="796"/>
      <c r="B179" s="796"/>
      <c r="C179" s="796"/>
      <c r="D179" s="796"/>
      <c r="E179" s="796"/>
      <c r="F179" s="796"/>
      <c r="G179" s="796"/>
      <c r="H179" s="796"/>
      <c r="I179" s="796"/>
      <c r="J179" s="796"/>
      <c r="K179" s="796"/>
      <c r="L179" s="796"/>
      <c r="M179" s="796"/>
      <c r="N179" s="796"/>
      <c r="O179" s="796"/>
      <c r="P179" s="796"/>
      <c r="Q179" s="796"/>
      <c r="R179" s="796"/>
      <c r="S179" s="796"/>
      <c r="T179" s="796"/>
      <c r="U179" s="796"/>
      <c r="V179" s="796"/>
      <c r="W179" s="796"/>
      <c r="X179" s="796"/>
      <c r="Y179" s="796"/>
      <c r="Z179" s="796"/>
      <c r="AA179" s="796"/>
      <c r="AB179" s="796"/>
      <c r="AC179" s="796"/>
      <c r="AD179" s="796"/>
      <c r="AE179" s="796"/>
      <c r="AF179" s="796"/>
      <c r="AG179" s="796"/>
      <c r="AH179" s="796"/>
      <c r="AI179" s="796"/>
      <c r="AJ179" s="796"/>
      <c r="AK179" s="796"/>
      <c r="AL179" s="796"/>
      <c r="AM179" s="796"/>
      <c r="AN179" s="796"/>
      <c r="AO179" s="796"/>
      <c r="AP179" s="796"/>
      <c r="AQ179" s="796"/>
      <c r="AR179" s="796"/>
      <c r="AS179" s="796"/>
      <c r="AT179" s="796"/>
      <c r="AU179" s="796"/>
    </row>
    <row r="180" spans="1:47" ht="13.5">
      <c r="A180" s="796"/>
      <c r="B180" s="796"/>
      <c r="C180" s="796"/>
      <c r="D180" s="796"/>
      <c r="E180" s="796"/>
      <c r="F180" s="796"/>
      <c r="G180" s="796"/>
      <c r="H180" s="796"/>
      <c r="I180" s="796"/>
      <c r="J180" s="796"/>
      <c r="K180" s="796"/>
      <c r="L180" s="796"/>
      <c r="M180" s="796"/>
      <c r="N180" s="796"/>
      <c r="O180" s="796"/>
      <c r="P180" s="796"/>
      <c r="Q180" s="796"/>
      <c r="R180" s="796"/>
      <c r="S180" s="796"/>
      <c r="T180" s="796"/>
      <c r="U180" s="796"/>
      <c r="V180" s="796"/>
      <c r="W180" s="796"/>
      <c r="X180" s="796"/>
      <c r="Y180" s="796"/>
      <c r="Z180" s="796"/>
      <c r="AA180" s="796"/>
      <c r="AB180" s="796"/>
      <c r="AC180" s="796"/>
      <c r="AD180" s="796"/>
      <c r="AE180" s="796"/>
      <c r="AF180" s="796"/>
      <c r="AG180" s="796"/>
      <c r="AH180" s="796"/>
      <c r="AI180" s="796"/>
      <c r="AJ180" s="796"/>
      <c r="AK180" s="796"/>
      <c r="AL180" s="796"/>
      <c r="AM180" s="796"/>
      <c r="AN180" s="796"/>
      <c r="AO180" s="796"/>
      <c r="AP180" s="796"/>
      <c r="AQ180" s="796"/>
      <c r="AR180" s="796"/>
      <c r="AS180" s="796"/>
      <c r="AT180" s="796"/>
      <c r="AU180" s="796"/>
    </row>
    <row r="181" spans="1:47" ht="13.5">
      <c r="A181" s="796"/>
      <c r="B181" s="796"/>
      <c r="C181" s="796"/>
      <c r="D181" s="796"/>
      <c r="E181" s="796"/>
      <c r="F181" s="796"/>
      <c r="G181" s="796"/>
      <c r="H181" s="796"/>
      <c r="I181" s="796"/>
      <c r="J181" s="796"/>
      <c r="K181" s="796"/>
      <c r="L181" s="796"/>
      <c r="M181" s="796"/>
      <c r="N181" s="796"/>
      <c r="O181" s="796"/>
      <c r="P181" s="796"/>
      <c r="Q181" s="796"/>
      <c r="R181" s="796"/>
      <c r="S181" s="796"/>
      <c r="T181" s="796"/>
      <c r="U181" s="796"/>
      <c r="V181" s="796"/>
      <c r="W181" s="796"/>
      <c r="X181" s="796"/>
      <c r="Y181" s="796"/>
      <c r="Z181" s="796"/>
      <c r="AA181" s="796"/>
      <c r="AB181" s="796"/>
      <c r="AC181" s="796"/>
      <c r="AD181" s="796"/>
      <c r="AE181" s="796"/>
      <c r="AF181" s="796"/>
      <c r="AG181" s="796"/>
      <c r="AH181" s="796"/>
      <c r="AI181" s="796"/>
      <c r="AJ181" s="796"/>
      <c r="AK181" s="796"/>
      <c r="AL181" s="796"/>
      <c r="AM181" s="796"/>
      <c r="AN181" s="796"/>
      <c r="AO181" s="796"/>
      <c r="AP181" s="796"/>
      <c r="AQ181" s="796"/>
      <c r="AR181" s="796"/>
      <c r="AS181" s="796"/>
      <c r="AT181" s="796"/>
      <c r="AU181" s="796"/>
    </row>
    <row r="182" spans="1:47" ht="13.5">
      <c r="A182" s="796"/>
      <c r="B182" s="796"/>
      <c r="C182" s="796"/>
      <c r="D182" s="796"/>
      <c r="E182" s="796"/>
      <c r="F182" s="796"/>
      <c r="G182" s="796"/>
      <c r="H182" s="796"/>
      <c r="I182" s="796"/>
      <c r="J182" s="796"/>
      <c r="K182" s="796"/>
      <c r="L182" s="796"/>
      <c r="M182" s="796"/>
      <c r="N182" s="796"/>
      <c r="O182" s="796"/>
      <c r="P182" s="796"/>
      <c r="Q182" s="796"/>
      <c r="R182" s="796"/>
      <c r="S182" s="796"/>
      <c r="T182" s="796"/>
      <c r="U182" s="796"/>
      <c r="V182" s="796"/>
      <c r="W182" s="796"/>
      <c r="X182" s="796"/>
      <c r="Y182" s="796"/>
      <c r="Z182" s="796"/>
      <c r="AA182" s="796"/>
      <c r="AB182" s="796"/>
      <c r="AC182" s="796"/>
      <c r="AD182" s="796"/>
      <c r="AE182" s="796"/>
      <c r="AF182" s="796"/>
      <c r="AG182" s="796"/>
      <c r="AH182" s="796"/>
      <c r="AI182" s="796"/>
      <c r="AJ182" s="796"/>
      <c r="AK182" s="796"/>
      <c r="AL182" s="796"/>
      <c r="AM182" s="796"/>
      <c r="AN182" s="796"/>
      <c r="AO182" s="796"/>
      <c r="AP182" s="796"/>
      <c r="AQ182" s="796"/>
      <c r="AR182" s="796"/>
      <c r="AS182" s="796"/>
      <c r="AT182" s="796"/>
      <c r="AU182" s="796"/>
    </row>
    <row r="183" spans="1:47" ht="13.5">
      <c r="A183" s="796"/>
      <c r="B183" s="796"/>
      <c r="C183" s="796"/>
      <c r="D183" s="796"/>
      <c r="E183" s="796"/>
      <c r="F183" s="796"/>
      <c r="G183" s="796"/>
      <c r="H183" s="796"/>
      <c r="I183" s="796"/>
      <c r="J183" s="796"/>
      <c r="K183" s="796"/>
      <c r="L183" s="796"/>
      <c r="M183" s="796"/>
      <c r="N183" s="796"/>
      <c r="O183" s="796"/>
      <c r="P183" s="796"/>
      <c r="Q183" s="796"/>
      <c r="R183" s="796"/>
      <c r="S183" s="796"/>
      <c r="T183" s="796"/>
      <c r="U183" s="796"/>
      <c r="V183" s="796"/>
      <c r="W183" s="796"/>
      <c r="X183" s="796"/>
      <c r="Y183" s="796"/>
      <c r="Z183" s="796"/>
      <c r="AA183" s="796"/>
      <c r="AB183" s="796"/>
      <c r="AC183" s="796"/>
      <c r="AD183" s="796"/>
      <c r="AE183" s="796"/>
      <c r="AF183" s="796"/>
      <c r="AG183" s="796"/>
      <c r="AH183" s="796"/>
      <c r="AI183" s="796"/>
      <c r="AJ183" s="796"/>
      <c r="AK183" s="796"/>
      <c r="AL183" s="796"/>
      <c r="AM183" s="796"/>
      <c r="AN183" s="796"/>
      <c r="AO183" s="796"/>
      <c r="AP183" s="796"/>
      <c r="AQ183" s="796"/>
      <c r="AR183" s="796"/>
      <c r="AS183" s="796"/>
      <c r="AT183" s="796"/>
      <c r="AU183" s="796"/>
    </row>
    <row r="184" spans="1:47" ht="13.5">
      <c r="A184" s="796"/>
      <c r="B184" s="796"/>
      <c r="C184" s="796"/>
      <c r="D184" s="796"/>
      <c r="E184" s="796"/>
      <c r="F184" s="796"/>
      <c r="G184" s="796"/>
      <c r="H184" s="796"/>
      <c r="I184" s="796"/>
      <c r="J184" s="796"/>
      <c r="K184" s="796"/>
      <c r="L184" s="796"/>
      <c r="M184" s="796"/>
      <c r="N184" s="796"/>
      <c r="O184" s="796"/>
      <c r="P184" s="796"/>
      <c r="Q184" s="796"/>
      <c r="R184" s="796"/>
      <c r="S184" s="796"/>
      <c r="T184" s="796"/>
      <c r="U184" s="796"/>
      <c r="V184" s="796"/>
      <c r="W184" s="796"/>
      <c r="X184" s="796"/>
      <c r="Y184" s="796"/>
      <c r="Z184" s="796"/>
      <c r="AA184" s="796"/>
      <c r="AB184" s="796"/>
      <c r="AC184" s="796"/>
      <c r="AD184" s="796"/>
      <c r="AE184" s="796"/>
      <c r="AF184" s="796"/>
      <c r="AG184" s="796"/>
      <c r="AH184" s="796"/>
      <c r="AI184" s="796"/>
      <c r="AJ184" s="796"/>
      <c r="AK184" s="796"/>
      <c r="AL184" s="796"/>
      <c r="AM184" s="796"/>
      <c r="AN184" s="796"/>
      <c r="AO184" s="796"/>
      <c r="AP184" s="796"/>
      <c r="AQ184" s="796"/>
      <c r="AR184" s="796"/>
      <c r="AS184" s="796"/>
      <c r="AT184" s="796"/>
      <c r="AU184" s="796"/>
    </row>
    <row r="185" spans="1:47" ht="13.5">
      <c r="A185" s="796"/>
      <c r="B185" s="796"/>
      <c r="C185" s="796"/>
      <c r="D185" s="796"/>
      <c r="E185" s="796"/>
      <c r="F185" s="796"/>
      <c r="G185" s="796"/>
      <c r="H185" s="796"/>
      <c r="I185" s="796"/>
      <c r="J185" s="796"/>
      <c r="K185" s="796"/>
      <c r="L185" s="796"/>
      <c r="M185" s="796"/>
      <c r="N185" s="796"/>
      <c r="O185" s="796"/>
      <c r="P185" s="796"/>
      <c r="Q185" s="796"/>
      <c r="R185" s="796"/>
      <c r="S185" s="796"/>
      <c r="T185" s="796"/>
      <c r="U185" s="796"/>
      <c r="V185" s="796"/>
      <c r="W185" s="796"/>
      <c r="X185" s="796"/>
      <c r="Y185" s="796"/>
      <c r="Z185" s="796"/>
      <c r="AA185" s="796"/>
      <c r="AB185" s="796"/>
      <c r="AC185" s="796"/>
      <c r="AD185" s="796"/>
      <c r="AE185" s="796"/>
      <c r="AF185" s="796"/>
      <c r="AG185" s="796"/>
      <c r="AH185" s="796"/>
      <c r="AI185" s="796"/>
      <c r="AJ185" s="796"/>
      <c r="AK185" s="796"/>
      <c r="AL185" s="796"/>
      <c r="AM185" s="796"/>
      <c r="AN185" s="796"/>
      <c r="AO185" s="796"/>
      <c r="AP185" s="796"/>
      <c r="AQ185" s="796"/>
      <c r="AR185" s="796"/>
      <c r="AS185" s="796"/>
      <c r="AT185" s="796"/>
      <c r="AU185" s="796"/>
    </row>
    <row r="186" spans="1:47" ht="13.5">
      <c r="A186" s="796"/>
      <c r="B186" s="796"/>
      <c r="C186" s="796"/>
      <c r="D186" s="796"/>
      <c r="E186" s="796"/>
      <c r="F186" s="796"/>
      <c r="G186" s="796"/>
      <c r="H186" s="796"/>
      <c r="I186" s="796"/>
      <c r="J186" s="796"/>
      <c r="K186" s="796"/>
      <c r="L186" s="796"/>
      <c r="M186" s="796"/>
      <c r="N186" s="796"/>
      <c r="O186" s="796"/>
      <c r="P186" s="796"/>
      <c r="Q186" s="796"/>
      <c r="R186" s="796"/>
      <c r="S186" s="796"/>
      <c r="T186" s="796"/>
      <c r="U186" s="796"/>
      <c r="V186" s="796"/>
      <c r="W186" s="796"/>
      <c r="X186" s="796"/>
      <c r="Y186" s="796"/>
      <c r="Z186" s="796"/>
      <c r="AA186" s="796"/>
      <c r="AB186" s="796"/>
      <c r="AC186" s="796"/>
      <c r="AD186" s="796"/>
      <c r="AE186" s="796"/>
      <c r="AF186" s="796"/>
      <c r="AG186" s="796"/>
      <c r="AH186" s="796"/>
      <c r="AI186" s="796"/>
      <c r="AJ186" s="796"/>
      <c r="AK186" s="796"/>
      <c r="AL186" s="796"/>
      <c r="AM186" s="796"/>
      <c r="AN186" s="796"/>
      <c r="AO186" s="796"/>
      <c r="AP186" s="796"/>
      <c r="AQ186" s="796"/>
      <c r="AR186" s="796"/>
      <c r="AS186" s="796"/>
      <c r="AT186" s="796"/>
      <c r="AU186" s="796"/>
    </row>
    <row r="187" spans="1:47" ht="13.5">
      <c r="A187" s="796"/>
      <c r="B187" s="796"/>
      <c r="C187" s="796"/>
      <c r="D187" s="796"/>
      <c r="E187" s="796"/>
      <c r="F187" s="796"/>
      <c r="G187" s="796"/>
      <c r="H187" s="796"/>
      <c r="I187" s="796"/>
      <c r="J187" s="796"/>
      <c r="K187" s="796"/>
      <c r="L187" s="796"/>
      <c r="M187" s="796"/>
      <c r="N187" s="796"/>
      <c r="O187" s="796"/>
      <c r="P187" s="796"/>
      <c r="Q187" s="796"/>
      <c r="R187" s="796"/>
      <c r="S187" s="796"/>
      <c r="T187" s="796"/>
      <c r="U187" s="796"/>
      <c r="V187" s="796"/>
      <c r="W187" s="796"/>
      <c r="X187" s="796"/>
      <c r="Y187" s="796"/>
      <c r="Z187" s="796"/>
      <c r="AA187" s="796"/>
      <c r="AB187" s="796"/>
      <c r="AC187" s="796"/>
      <c r="AD187" s="796"/>
      <c r="AE187" s="796"/>
      <c r="AF187" s="796"/>
      <c r="AG187" s="796"/>
      <c r="AH187" s="796"/>
      <c r="AI187" s="796"/>
      <c r="AJ187" s="796"/>
      <c r="AK187" s="796"/>
      <c r="AL187" s="796"/>
      <c r="AM187" s="796"/>
      <c r="AN187" s="796"/>
      <c r="AO187" s="796"/>
      <c r="AP187" s="796"/>
      <c r="AQ187" s="796"/>
      <c r="AR187" s="796"/>
      <c r="AS187" s="796"/>
      <c r="AT187" s="796"/>
      <c r="AU187" s="796"/>
    </row>
    <row r="188" spans="1:47" ht="13.5">
      <c r="A188" s="796"/>
      <c r="B188" s="796"/>
      <c r="C188" s="796"/>
      <c r="D188" s="796"/>
      <c r="E188" s="796"/>
      <c r="F188" s="796"/>
      <c r="G188" s="796"/>
      <c r="H188" s="796"/>
      <c r="I188" s="796"/>
      <c r="J188" s="796"/>
      <c r="K188" s="796"/>
      <c r="L188" s="796"/>
      <c r="M188" s="796"/>
      <c r="N188" s="796"/>
      <c r="O188" s="796"/>
      <c r="P188" s="796"/>
      <c r="Q188" s="796"/>
      <c r="R188" s="796"/>
      <c r="S188" s="796"/>
      <c r="T188" s="796"/>
      <c r="U188" s="796"/>
      <c r="V188" s="796"/>
      <c r="W188" s="796"/>
      <c r="X188" s="796"/>
      <c r="Y188" s="796"/>
      <c r="Z188" s="796"/>
      <c r="AA188" s="796"/>
      <c r="AB188" s="796"/>
      <c r="AC188" s="796"/>
      <c r="AD188" s="796"/>
      <c r="AE188" s="796"/>
      <c r="AF188" s="796"/>
      <c r="AG188" s="796"/>
      <c r="AH188" s="796"/>
      <c r="AI188" s="796"/>
      <c r="AJ188" s="796"/>
      <c r="AK188" s="796"/>
      <c r="AL188" s="796"/>
      <c r="AM188" s="796"/>
      <c r="AN188" s="796"/>
      <c r="AO188" s="796"/>
      <c r="AP188" s="796"/>
      <c r="AQ188" s="796"/>
      <c r="AR188" s="796"/>
      <c r="AS188" s="796"/>
      <c r="AT188" s="796"/>
      <c r="AU188" s="796"/>
    </row>
    <row r="189" spans="1:47" ht="13.5">
      <c r="A189" s="796"/>
      <c r="B189" s="796"/>
      <c r="C189" s="796"/>
      <c r="D189" s="796"/>
      <c r="E189" s="796"/>
      <c r="F189" s="796"/>
      <c r="G189" s="796"/>
      <c r="H189" s="796"/>
      <c r="I189" s="796"/>
      <c r="J189" s="796"/>
      <c r="K189" s="796"/>
      <c r="L189" s="796"/>
      <c r="M189" s="796"/>
      <c r="N189" s="796"/>
      <c r="O189" s="796"/>
      <c r="P189" s="796"/>
      <c r="Q189" s="796"/>
      <c r="R189" s="796"/>
      <c r="S189" s="796"/>
      <c r="T189" s="796"/>
      <c r="U189" s="796"/>
      <c r="V189" s="796"/>
      <c r="W189" s="796"/>
      <c r="X189" s="796"/>
      <c r="Y189" s="796"/>
      <c r="Z189" s="796"/>
      <c r="AA189" s="796"/>
      <c r="AB189" s="796"/>
      <c r="AC189" s="796"/>
      <c r="AD189" s="796"/>
      <c r="AE189" s="796"/>
      <c r="AF189" s="796"/>
      <c r="AG189" s="796"/>
      <c r="AH189" s="796"/>
      <c r="AI189" s="796"/>
      <c r="AJ189" s="796"/>
      <c r="AK189" s="796"/>
      <c r="AL189" s="796"/>
      <c r="AM189" s="796"/>
      <c r="AN189" s="796"/>
      <c r="AO189" s="796"/>
      <c r="AP189" s="796"/>
      <c r="AQ189" s="796"/>
      <c r="AR189" s="796"/>
      <c r="AS189" s="796"/>
      <c r="AT189" s="796"/>
      <c r="AU189" s="796"/>
    </row>
    <row r="190" spans="1:47" ht="13.5">
      <c r="A190" s="796"/>
      <c r="B190" s="796"/>
      <c r="C190" s="796"/>
      <c r="D190" s="796"/>
      <c r="E190" s="796"/>
      <c r="F190" s="796"/>
      <c r="G190" s="796"/>
      <c r="H190" s="796"/>
      <c r="I190" s="796"/>
      <c r="J190" s="796"/>
      <c r="K190" s="796"/>
      <c r="L190" s="796"/>
      <c r="M190" s="796"/>
      <c r="N190" s="796"/>
      <c r="O190" s="796"/>
      <c r="P190" s="796"/>
      <c r="Q190" s="796"/>
      <c r="R190" s="796"/>
      <c r="S190" s="796"/>
      <c r="T190" s="796"/>
      <c r="U190" s="796"/>
      <c r="V190" s="796"/>
      <c r="W190" s="796"/>
      <c r="X190" s="796"/>
      <c r="Y190" s="796"/>
      <c r="Z190" s="796"/>
      <c r="AA190" s="796"/>
      <c r="AB190" s="796"/>
      <c r="AC190" s="796"/>
      <c r="AD190" s="796"/>
      <c r="AE190" s="796"/>
      <c r="AF190" s="796"/>
      <c r="AG190" s="796"/>
      <c r="AH190" s="796"/>
      <c r="AI190" s="796"/>
      <c r="AJ190" s="796"/>
      <c r="AK190" s="796"/>
      <c r="AL190" s="796"/>
      <c r="AM190" s="796"/>
      <c r="AN190" s="796"/>
      <c r="AO190" s="796"/>
      <c r="AP190" s="796"/>
      <c r="AQ190" s="796"/>
      <c r="AR190" s="796"/>
      <c r="AS190" s="796"/>
      <c r="AT190" s="796"/>
      <c r="AU190" s="796"/>
    </row>
    <row r="191" spans="1:47" ht="13.5">
      <c r="A191" s="796"/>
      <c r="B191" s="796"/>
      <c r="C191" s="796"/>
      <c r="D191" s="796"/>
      <c r="E191" s="796"/>
      <c r="F191" s="796"/>
      <c r="G191" s="796"/>
      <c r="H191" s="796"/>
      <c r="I191" s="796"/>
      <c r="J191" s="796"/>
      <c r="K191" s="796"/>
      <c r="L191" s="796"/>
      <c r="M191" s="796"/>
      <c r="N191" s="796"/>
      <c r="O191" s="796"/>
      <c r="P191" s="796"/>
      <c r="Q191" s="796"/>
      <c r="R191" s="796"/>
      <c r="S191" s="796"/>
      <c r="T191" s="796"/>
      <c r="U191" s="796"/>
      <c r="V191" s="796"/>
      <c r="W191" s="796"/>
      <c r="X191" s="796"/>
      <c r="Y191" s="796"/>
      <c r="Z191" s="796"/>
      <c r="AA191" s="796"/>
      <c r="AB191" s="796"/>
      <c r="AC191" s="796"/>
      <c r="AD191" s="796"/>
      <c r="AE191" s="796"/>
      <c r="AF191" s="796"/>
      <c r="AG191" s="796"/>
      <c r="AH191" s="796"/>
      <c r="AI191" s="796"/>
      <c r="AJ191" s="796"/>
      <c r="AK191" s="796"/>
      <c r="AL191" s="796"/>
      <c r="AM191" s="796"/>
      <c r="AN191" s="796"/>
      <c r="AO191" s="796"/>
      <c r="AP191" s="796"/>
      <c r="AQ191" s="796"/>
      <c r="AR191" s="796"/>
      <c r="AS191" s="796"/>
      <c r="AT191" s="796"/>
      <c r="AU191" s="796"/>
    </row>
    <row r="192" spans="1:47" ht="13.5">
      <c r="A192" s="796"/>
      <c r="B192" s="796"/>
      <c r="C192" s="796"/>
      <c r="D192" s="796"/>
      <c r="E192" s="796"/>
      <c r="F192" s="796"/>
      <c r="G192" s="796"/>
      <c r="H192" s="796"/>
      <c r="I192" s="796"/>
      <c r="J192" s="796"/>
      <c r="K192" s="796"/>
      <c r="L192" s="796"/>
      <c r="M192" s="796"/>
      <c r="N192" s="796"/>
      <c r="O192" s="796"/>
      <c r="P192" s="796"/>
      <c r="Q192" s="796"/>
      <c r="R192" s="796"/>
      <c r="S192" s="796"/>
      <c r="T192" s="796"/>
      <c r="U192" s="796"/>
      <c r="V192" s="796"/>
      <c r="W192" s="796"/>
      <c r="X192" s="796"/>
      <c r="Y192" s="796"/>
      <c r="Z192" s="796"/>
      <c r="AA192" s="796"/>
      <c r="AB192" s="796"/>
      <c r="AC192" s="796"/>
      <c r="AD192" s="796"/>
      <c r="AE192" s="796"/>
      <c r="AF192" s="796"/>
      <c r="AG192" s="796"/>
      <c r="AH192" s="796"/>
      <c r="AI192" s="796"/>
      <c r="AJ192" s="796"/>
      <c r="AK192" s="796"/>
      <c r="AL192" s="796"/>
      <c r="AM192" s="796"/>
      <c r="AN192" s="796"/>
      <c r="AO192" s="796"/>
      <c r="AP192" s="796"/>
      <c r="AQ192" s="796"/>
      <c r="AR192" s="796"/>
      <c r="AS192" s="796"/>
      <c r="AT192" s="796"/>
      <c r="AU192" s="796"/>
    </row>
    <row r="193" spans="1:47" ht="13.5">
      <c r="A193" s="796"/>
      <c r="B193" s="796"/>
      <c r="C193" s="796"/>
      <c r="D193" s="796"/>
      <c r="E193" s="796"/>
      <c r="F193" s="796"/>
      <c r="G193" s="796"/>
      <c r="H193" s="796"/>
      <c r="I193" s="796"/>
      <c r="J193" s="796"/>
      <c r="K193" s="796"/>
      <c r="L193" s="796"/>
      <c r="M193" s="796"/>
      <c r="N193" s="796"/>
      <c r="O193" s="796"/>
      <c r="P193" s="796"/>
      <c r="Q193" s="796"/>
      <c r="R193" s="796"/>
      <c r="S193" s="796"/>
      <c r="T193" s="796"/>
      <c r="U193" s="796"/>
      <c r="V193" s="796"/>
      <c r="W193" s="796"/>
      <c r="X193" s="796"/>
      <c r="Y193" s="796"/>
      <c r="Z193" s="796"/>
      <c r="AA193" s="796"/>
      <c r="AB193" s="796"/>
      <c r="AC193" s="796"/>
      <c r="AD193" s="796"/>
      <c r="AE193" s="796"/>
      <c r="AF193" s="796"/>
      <c r="AG193" s="796"/>
      <c r="AH193" s="796"/>
      <c r="AI193" s="796"/>
      <c r="AJ193" s="796"/>
      <c r="AK193" s="796"/>
      <c r="AL193" s="796"/>
      <c r="AM193" s="796"/>
      <c r="AN193" s="796"/>
      <c r="AO193" s="796"/>
      <c r="AP193" s="796"/>
      <c r="AQ193" s="796"/>
      <c r="AR193" s="796"/>
      <c r="AS193" s="796"/>
      <c r="AT193" s="796"/>
      <c r="AU193" s="796"/>
    </row>
    <row r="194" spans="1:47" ht="13.5">
      <c r="A194" s="796"/>
      <c r="B194" s="796"/>
      <c r="C194" s="796"/>
      <c r="D194" s="796"/>
      <c r="E194" s="796"/>
      <c r="F194" s="796"/>
      <c r="G194" s="796"/>
      <c r="H194" s="796"/>
      <c r="I194" s="796"/>
      <c r="J194" s="796"/>
      <c r="K194" s="796"/>
      <c r="L194" s="796"/>
      <c r="M194" s="796"/>
      <c r="N194" s="796"/>
      <c r="O194" s="796"/>
      <c r="P194" s="796"/>
      <c r="Q194" s="796"/>
      <c r="R194" s="796"/>
      <c r="S194" s="796"/>
      <c r="T194" s="796"/>
      <c r="U194" s="796"/>
      <c r="V194" s="796"/>
      <c r="W194" s="796"/>
      <c r="X194" s="796"/>
      <c r="Y194" s="796"/>
      <c r="Z194" s="796"/>
      <c r="AA194" s="796"/>
      <c r="AB194" s="796"/>
      <c r="AC194" s="796"/>
      <c r="AD194" s="796"/>
      <c r="AE194" s="796"/>
      <c r="AF194" s="796"/>
      <c r="AG194" s="796"/>
      <c r="AH194" s="796"/>
      <c r="AI194" s="796"/>
      <c r="AJ194" s="796"/>
      <c r="AK194" s="796"/>
      <c r="AL194" s="796"/>
      <c r="AM194" s="796"/>
      <c r="AN194" s="796"/>
      <c r="AO194" s="796"/>
      <c r="AP194" s="796"/>
      <c r="AQ194" s="796"/>
      <c r="AR194" s="796"/>
      <c r="AS194" s="796"/>
      <c r="AT194" s="796"/>
      <c r="AU194" s="796"/>
    </row>
    <row r="195" spans="1:47" ht="13.5">
      <c r="A195" s="796"/>
      <c r="B195" s="796"/>
      <c r="C195" s="796"/>
      <c r="D195" s="796"/>
      <c r="E195" s="796"/>
      <c r="F195" s="796"/>
      <c r="G195" s="796"/>
      <c r="H195" s="796"/>
      <c r="I195" s="796"/>
      <c r="J195" s="796"/>
      <c r="K195" s="796"/>
      <c r="L195" s="796"/>
      <c r="M195" s="796"/>
      <c r="N195" s="796"/>
      <c r="O195" s="796"/>
      <c r="P195" s="796"/>
      <c r="Q195" s="796"/>
      <c r="R195" s="796"/>
      <c r="S195" s="796"/>
      <c r="T195" s="796"/>
      <c r="U195" s="796"/>
      <c r="V195" s="796"/>
      <c r="W195" s="796"/>
      <c r="X195" s="796"/>
      <c r="Y195" s="796"/>
      <c r="Z195" s="796"/>
      <c r="AA195" s="796"/>
      <c r="AB195" s="796"/>
      <c r="AC195" s="796"/>
      <c r="AD195" s="796"/>
      <c r="AE195" s="796"/>
      <c r="AF195" s="796"/>
      <c r="AG195" s="796"/>
      <c r="AH195" s="796"/>
      <c r="AI195" s="796"/>
      <c r="AJ195" s="796"/>
      <c r="AK195" s="796"/>
      <c r="AL195" s="796"/>
      <c r="AM195" s="796"/>
      <c r="AN195" s="796"/>
      <c r="AO195" s="796"/>
      <c r="AP195" s="796"/>
      <c r="AQ195" s="796"/>
      <c r="AR195" s="796"/>
      <c r="AS195" s="796"/>
      <c r="AT195" s="796"/>
      <c r="AU195" s="796"/>
    </row>
    <row r="196" spans="1:47" ht="13.5">
      <c r="A196" s="796"/>
      <c r="B196" s="796"/>
      <c r="C196" s="796"/>
      <c r="D196" s="796"/>
      <c r="E196" s="796"/>
      <c r="F196" s="796"/>
      <c r="G196" s="796"/>
      <c r="H196" s="796"/>
      <c r="I196" s="796"/>
      <c r="J196" s="796"/>
      <c r="K196" s="796"/>
      <c r="L196" s="796"/>
      <c r="M196" s="796"/>
      <c r="N196" s="796"/>
      <c r="O196" s="796"/>
      <c r="P196" s="796"/>
      <c r="Q196" s="796"/>
      <c r="R196" s="796"/>
      <c r="S196" s="796"/>
      <c r="T196" s="796"/>
      <c r="U196" s="796"/>
      <c r="V196" s="796"/>
      <c r="W196" s="796"/>
      <c r="X196" s="796"/>
      <c r="Y196" s="796"/>
      <c r="Z196" s="796"/>
      <c r="AA196" s="796"/>
      <c r="AB196" s="796"/>
      <c r="AC196" s="796"/>
      <c r="AD196" s="796"/>
      <c r="AE196" s="796"/>
      <c r="AF196" s="796"/>
      <c r="AG196" s="796"/>
      <c r="AH196" s="796"/>
      <c r="AI196" s="796"/>
      <c r="AJ196" s="796"/>
      <c r="AK196" s="796"/>
      <c r="AL196" s="796"/>
      <c r="AM196" s="796"/>
      <c r="AN196" s="796"/>
      <c r="AO196" s="796"/>
      <c r="AP196" s="796"/>
      <c r="AQ196" s="796"/>
      <c r="AR196" s="796"/>
      <c r="AS196" s="796"/>
      <c r="AT196" s="796"/>
      <c r="AU196" s="796"/>
    </row>
    <row r="197" spans="1:47" ht="13.5">
      <c r="A197" s="796"/>
      <c r="B197" s="796"/>
      <c r="C197" s="796"/>
      <c r="D197" s="796"/>
      <c r="E197" s="796"/>
      <c r="F197" s="796"/>
      <c r="G197" s="796"/>
      <c r="H197" s="796"/>
      <c r="I197" s="796"/>
      <c r="J197" s="796"/>
      <c r="K197" s="796"/>
      <c r="L197" s="796"/>
      <c r="M197" s="796"/>
      <c r="N197" s="796"/>
      <c r="O197" s="796"/>
      <c r="P197" s="796"/>
      <c r="Q197" s="796"/>
      <c r="R197" s="796"/>
      <c r="S197" s="796"/>
      <c r="T197" s="796"/>
      <c r="U197" s="796"/>
      <c r="V197" s="796"/>
      <c r="W197" s="796"/>
      <c r="X197" s="796"/>
      <c r="Y197" s="796"/>
      <c r="Z197" s="796"/>
      <c r="AA197" s="796"/>
      <c r="AB197" s="796"/>
      <c r="AC197" s="796"/>
      <c r="AD197" s="796"/>
      <c r="AE197" s="796"/>
      <c r="AF197" s="796"/>
      <c r="AG197" s="796"/>
      <c r="AH197" s="796"/>
      <c r="AI197" s="796"/>
      <c r="AJ197" s="796"/>
      <c r="AK197" s="796"/>
      <c r="AL197" s="796"/>
      <c r="AM197" s="796"/>
      <c r="AN197" s="796"/>
      <c r="AO197" s="796"/>
      <c r="AP197" s="796"/>
      <c r="AQ197" s="796"/>
      <c r="AR197" s="796"/>
      <c r="AS197" s="796"/>
      <c r="AT197" s="796"/>
      <c r="AU197" s="796"/>
    </row>
    <row r="198" spans="1:47" ht="13.5">
      <c r="A198" s="796"/>
      <c r="B198" s="796"/>
      <c r="C198" s="796"/>
      <c r="D198" s="796"/>
      <c r="E198" s="796"/>
      <c r="F198" s="796"/>
      <c r="G198" s="796"/>
      <c r="H198" s="796"/>
      <c r="I198" s="796"/>
      <c r="J198" s="796"/>
      <c r="K198" s="796"/>
      <c r="L198" s="796"/>
      <c r="M198" s="796"/>
      <c r="N198" s="796"/>
      <c r="O198" s="796"/>
      <c r="P198" s="796"/>
      <c r="Q198" s="796"/>
      <c r="R198" s="796"/>
      <c r="S198" s="796"/>
      <c r="T198" s="796"/>
      <c r="U198" s="796"/>
      <c r="V198" s="796"/>
      <c r="W198" s="796"/>
      <c r="X198" s="796"/>
      <c r="Y198" s="796"/>
      <c r="Z198" s="796"/>
      <c r="AA198" s="796"/>
      <c r="AB198" s="796"/>
      <c r="AC198" s="796"/>
      <c r="AD198" s="796"/>
      <c r="AE198" s="796"/>
      <c r="AF198" s="796"/>
      <c r="AG198" s="796"/>
      <c r="AH198" s="796"/>
      <c r="AI198" s="796"/>
      <c r="AJ198" s="796"/>
      <c r="AK198" s="796"/>
      <c r="AL198" s="796"/>
      <c r="AM198" s="796"/>
      <c r="AN198" s="796"/>
      <c r="AO198" s="796"/>
      <c r="AP198" s="796"/>
      <c r="AQ198" s="796"/>
      <c r="AR198" s="796"/>
      <c r="AS198" s="796"/>
      <c r="AT198" s="796"/>
      <c r="AU198" s="796"/>
    </row>
    <row r="199" spans="1:47" ht="13.5">
      <c r="A199" s="796"/>
      <c r="B199" s="796"/>
      <c r="C199" s="796"/>
      <c r="D199" s="796"/>
      <c r="E199" s="796"/>
      <c r="F199" s="796"/>
      <c r="G199" s="796"/>
      <c r="H199" s="796"/>
      <c r="I199" s="796"/>
      <c r="J199" s="796"/>
      <c r="K199" s="796"/>
      <c r="L199" s="796"/>
      <c r="M199" s="796"/>
      <c r="N199" s="796"/>
      <c r="O199" s="796"/>
      <c r="P199" s="796"/>
      <c r="Q199" s="796"/>
      <c r="R199" s="796"/>
      <c r="S199" s="796"/>
      <c r="T199" s="796"/>
      <c r="U199" s="796"/>
      <c r="V199" s="796"/>
      <c r="W199" s="796"/>
      <c r="X199" s="796"/>
      <c r="Y199" s="796"/>
      <c r="Z199" s="796"/>
      <c r="AA199" s="796"/>
      <c r="AB199" s="796"/>
      <c r="AC199" s="796"/>
      <c r="AD199" s="796"/>
      <c r="AE199" s="796"/>
      <c r="AF199" s="796"/>
      <c r="AG199" s="796"/>
      <c r="AH199" s="796"/>
      <c r="AI199" s="796"/>
      <c r="AJ199" s="796"/>
      <c r="AK199" s="796"/>
      <c r="AL199" s="796"/>
      <c r="AM199" s="796"/>
      <c r="AN199" s="796"/>
      <c r="AO199" s="796"/>
      <c r="AP199" s="796"/>
      <c r="AQ199" s="796"/>
      <c r="AR199" s="796"/>
      <c r="AS199" s="796"/>
      <c r="AT199" s="796"/>
      <c r="AU199" s="796"/>
    </row>
    <row r="200" spans="1:47" ht="13.5">
      <c r="A200" s="796"/>
      <c r="B200" s="796"/>
      <c r="C200" s="796"/>
      <c r="D200" s="796"/>
      <c r="E200" s="796"/>
      <c r="F200" s="796"/>
      <c r="G200" s="796"/>
      <c r="H200" s="796"/>
      <c r="I200" s="796"/>
      <c r="J200" s="796"/>
      <c r="K200" s="796"/>
      <c r="L200" s="796"/>
      <c r="M200" s="796"/>
      <c r="N200" s="796"/>
      <c r="O200" s="796"/>
      <c r="P200" s="796"/>
      <c r="Q200" s="796"/>
      <c r="R200" s="796"/>
      <c r="S200" s="796"/>
      <c r="T200" s="796"/>
      <c r="U200" s="796"/>
      <c r="V200" s="796"/>
      <c r="W200" s="796"/>
      <c r="X200" s="796"/>
      <c r="Y200" s="796"/>
      <c r="Z200" s="796"/>
      <c r="AA200" s="796"/>
      <c r="AB200" s="796"/>
      <c r="AC200" s="796"/>
      <c r="AD200" s="796"/>
      <c r="AE200" s="796"/>
      <c r="AF200" s="796"/>
      <c r="AG200" s="796"/>
      <c r="AH200" s="796"/>
      <c r="AI200" s="796"/>
      <c r="AJ200" s="796"/>
      <c r="AK200" s="796"/>
      <c r="AL200" s="796"/>
      <c r="AM200" s="796"/>
      <c r="AN200" s="796"/>
      <c r="AO200" s="796"/>
      <c r="AP200" s="796"/>
      <c r="AQ200" s="796"/>
      <c r="AR200" s="796"/>
      <c r="AS200" s="796"/>
      <c r="AT200" s="796"/>
      <c r="AU200" s="796"/>
    </row>
    <row r="201" spans="1:47" ht="13.5">
      <c r="A201" s="796"/>
      <c r="B201" s="796"/>
      <c r="C201" s="796"/>
      <c r="D201" s="796"/>
      <c r="E201" s="796"/>
      <c r="F201" s="796"/>
      <c r="G201" s="796"/>
      <c r="H201" s="796"/>
      <c r="I201" s="796"/>
      <c r="J201" s="796"/>
      <c r="K201" s="796"/>
      <c r="L201" s="796"/>
      <c r="M201" s="796"/>
      <c r="N201" s="796"/>
      <c r="O201" s="796"/>
      <c r="P201" s="796"/>
      <c r="Q201" s="796"/>
      <c r="R201" s="796"/>
      <c r="S201" s="796"/>
      <c r="T201" s="796"/>
      <c r="U201" s="796"/>
      <c r="V201" s="796"/>
      <c r="W201" s="796"/>
      <c r="X201" s="796"/>
      <c r="Y201" s="796"/>
      <c r="Z201" s="796"/>
      <c r="AA201" s="796"/>
      <c r="AB201" s="796"/>
      <c r="AC201" s="796"/>
      <c r="AD201" s="796"/>
      <c r="AE201" s="796"/>
      <c r="AF201" s="796"/>
      <c r="AG201" s="796"/>
      <c r="AH201" s="796"/>
      <c r="AI201" s="796"/>
      <c r="AJ201" s="796"/>
      <c r="AK201" s="796"/>
      <c r="AL201" s="796"/>
      <c r="AM201" s="796"/>
      <c r="AN201" s="796"/>
      <c r="AO201" s="796"/>
      <c r="AP201" s="796"/>
      <c r="AQ201" s="796"/>
      <c r="AR201" s="796"/>
      <c r="AS201" s="796"/>
      <c r="AT201" s="796"/>
      <c r="AU201" s="796"/>
    </row>
    <row r="202" spans="1:47" ht="13.5">
      <c r="A202" s="796"/>
      <c r="B202" s="796"/>
      <c r="C202" s="796"/>
      <c r="D202" s="796"/>
      <c r="E202" s="796"/>
      <c r="F202" s="796"/>
      <c r="G202" s="796"/>
      <c r="H202" s="796"/>
      <c r="I202" s="796"/>
      <c r="J202" s="796"/>
      <c r="K202" s="796"/>
      <c r="L202" s="796"/>
      <c r="M202" s="796"/>
      <c r="N202" s="796"/>
      <c r="O202" s="796"/>
      <c r="P202" s="796"/>
      <c r="Q202" s="796"/>
      <c r="R202" s="796"/>
      <c r="S202" s="796"/>
      <c r="T202" s="796"/>
      <c r="U202" s="796"/>
      <c r="V202" s="796"/>
      <c r="W202" s="796"/>
      <c r="X202" s="796"/>
      <c r="Y202" s="796"/>
      <c r="Z202" s="796"/>
      <c r="AA202" s="796"/>
      <c r="AB202" s="796"/>
      <c r="AC202" s="796"/>
      <c r="AD202" s="796"/>
      <c r="AE202" s="796"/>
      <c r="AF202" s="796"/>
      <c r="AG202" s="796"/>
      <c r="AH202" s="796"/>
      <c r="AI202" s="796"/>
      <c r="AJ202" s="796"/>
      <c r="AK202" s="796"/>
      <c r="AL202" s="796"/>
      <c r="AM202" s="796"/>
      <c r="AN202" s="796"/>
      <c r="AO202" s="796"/>
      <c r="AP202" s="796"/>
      <c r="AQ202" s="796"/>
      <c r="AR202" s="796"/>
      <c r="AS202" s="796"/>
      <c r="AT202" s="796"/>
      <c r="AU202" s="796"/>
    </row>
    <row r="203" spans="1:47" ht="13.5">
      <c r="A203" s="796"/>
      <c r="B203" s="796"/>
      <c r="C203" s="796"/>
      <c r="D203" s="796"/>
      <c r="E203" s="796"/>
      <c r="F203" s="796"/>
      <c r="G203" s="796"/>
      <c r="H203" s="796"/>
      <c r="I203" s="796"/>
      <c r="J203" s="796"/>
      <c r="K203" s="796"/>
      <c r="L203" s="796"/>
      <c r="M203" s="796"/>
      <c r="N203" s="796"/>
      <c r="O203" s="796"/>
      <c r="P203" s="796"/>
      <c r="Q203" s="796"/>
      <c r="R203" s="796"/>
      <c r="S203" s="796"/>
      <c r="T203" s="796"/>
      <c r="U203" s="796"/>
      <c r="V203" s="796"/>
      <c r="W203" s="796"/>
      <c r="X203" s="796"/>
      <c r="Y203" s="796"/>
      <c r="Z203" s="796"/>
      <c r="AA203" s="796"/>
      <c r="AB203" s="796"/>
      <c r="AC203" s="796"/>
      <c r="AD203" s="796"/>
      <c r="AE203" s="796"/>
      <c r="AF203" s="796"/>
      <c r="AG203" s="796"/>
      <c r="AH203" s="796"/>
      <c r="AI203" s="796"/>
      <c r="AJ203" s="796"/>
      <c r="AK203" s="796"/>
      <c r="AL203" s="796"/>
      <c r="AM203" s="796"/>
      <c r="AN203" s="796"/>
      <c r="AO203" s="796"/>
      <c r="AP203" s="796"/>
      <c r="AQ203" s="796"/>
      <c r="AR203" s="796"/>
      <c r="AS203" s="796"/>
      <c r="AT203" s="796"/>
      <c r="AU203" s="796"/>
    </row>
    <row r="204" spans="1:47" ht="13.5">
      <c r="A204" s="796"/>
      <c r="B204" s="796"/>
      <c r="C204" s="796"/>
      <c r="D204" s="796"/>
      <c r="E204" s="796"/>
      <c r="F204" s="796"/>
      <c r="G204" s="796"/>
      <c r="H204" s="796"/>
      <c r="I204" s="796"/>
      <c r="J204" s="796"/>
      <c r="K204" s="796"/>
      <c r="L204" s="796"/>
      <c r="M204" s="796"/>
      <c r="N204" s="796"/>
      <c r="O204" s="796"/>
      <c r="P204" s="796"/>
      <c r="Q204" s="796"/>
      <c r="R204" s="796"/>
      <c r="S204" s="796"/>
      <c r="T204" s="796"/>
      <c r="U204" s="796"/>
      <c r="V204" s="796"/>
      <c r="W204" s="796"/>
      <c r="X204" s="796"/>
      <c r="Y204" s="796"/>
      <c r="Z204" s="796"/>
      <c r="AA204" s="796"/>
      <c r="AB204" s="796"/>
      <c r="AC204" s="796"/>
      <c r="AD204" s="796"/>
      <c r="AE204" s="796"/>
      <c r="AF204" s="796"/>
      <c r="AG204" s="796"/>
      <c r="AH204" s="796"/>
      <c r="AI204" s="796"/>
      <c r="AJ204" s="796"/>
      <c r="AK204" s="796"/>
      <c r="AL204" s="796"/>
      <c r="AM204" s="796"/>
      <c r="AN204" s="796"/>
      <c r="AO204" s="796"/>
      <c r="AP204" s="796"/>
      <c r="AQ204" s="796"/>
      <c r="AR204" s="796"/>
      <c r="AS204" s="796"/>
      <c r="AT204" s="796"/>
      <c r="AU204" s="796"/>
    </row>
    <row r="205" spans="1:47" ht="13.5">
      <c r="A205" s="796"/>
      <c r="B205" s="796"/>
      <c r="C205" s="796"/>
      <c r="D205" s="796"/>
      <c r="E205" s="796"/>
      <c r="F205" s="796"/>
      <c r="G205" s="796"/>
      <c r="H205" s="796"/>
      <c r="I205" s="796"/>
      <c r="J205" s="796"/>
      <c r="K205" s="796"/>
      <c r="L205" s="796"/>
      <c r="M205" s="796"/>
      <c r="N205" s="796"/>
      <c r="O205" s="796"/>
      <c r="P205" s="796"/>
      <c r="Q205" s="796"/>
      <c r="R205" s="796"/>
      <c r="S205" s="796"/>
      <c r="T205" s="796"/>
      <c r="U205" s="796"/>
      <c r="V205" s="796"/>
      <c r="W205" s="796"/>
      <c r="X205" s="796"/>
      <c r="Y205" s="796"/>
      <c r="Z205" s="796"/>
      <c r="AA205" s="796"/>
      <c r="AB205" s="796"/>
      <c r="AC205" s="796"/>
      <c r="AD205" s="796"/>
      <c r="AE205" s="796"/>
      <c r="AF205" s="796"/>
      <c r="AG205" s="796"/>
      <c r="AH205" s="796"/>
      <c r="AI205" s="796"/>
      <c r="AJ205" s="796"/>
      <c r="AK205" s="796"/>
      <c r="AL205" s="796"/>
      <c r="AM205" s="796"/>
      <c r="AN205" s="796"/>
      <c r="AO205" s="796"/>
      <c r="AP205" s="796"/>
      <c r="AQ205" s="796"/>
      <c r="AR205" s="796"/>
      <c r="AS205" s="796"/>
      <c r="AT205" s="796"/>
      <c r="AU205" s="796"/>
    </row>
    <row r="206" spans="1:47" ht="13.5">
      <c r="A206" s="796"/>
      <c r="B206" s="796"/>
      <c r="C206" s="796"/>
      <c r="D206" s="796"/>
      <c r="E206" s="796"/>
      <c r="F206" s="796"/>
      <c r="G206" s="796"/>
      <c r="H206" s="796"/>
      <c r="I206" s="796"/>
      <c r="J206" s="796"/>
      <c r="K206" s="796"/>
      <c r="L206" s="796"/>
      <c r="M206" s="796"/>
      <c r="N206" s="796"/>
      <c r="O206" s="796"/>
      <c r="P206" s="796"/>
      <c r="Q206" s="796"/>
      <c r="R206" s="796"/>
      <c r="S206" s="796"/>
      <c r="T206" s="796"/>
      <c r="U206" s="796"/>
      <c r="V206" s="796"/>
      <c r="W206" s="796"/>
      <c r="X206" s="796"/>
      <c r="Y206" s="796"/>
      <c r="Z206" s="796"/>
      <c r="AA206" s="796"/>
      <c r="AB206" s="796"/>
      <c r="AC206" s="796"/>
      <c r="AD206" s="796"/>
      <c r="AE206" s="796"/>
      <c r="AF206" s="796"/>
      <c r="AG206" s="796"/>
      <c r="AH206" s="796"/>
      <c r="AI206" s="796"/>
      <c r="AJ206" s="796"/>
      <c r="AK206" s="796"/>
      <c r="AL206" s="796"/>
      <c r="AM206" s="796"/>
      <c r="AN206" s="796"/>
      <c r="AO206" s="796"/>
      <c r="AP206" s="796"/>
      <c r="AQ206" s="796"/>
      <c r="AR206" s="796"/>
      <c r="AS206" s="796"/>
      <c r="AT206" s="796"/>
      <c r="AU206" s="796"/>
    </row>
    <row r="207" spans="1:47" ht="13.5">
      <c r="A207" s="796"/>
      <c r="B207" s="796"/>
      <c r="C207" s="796"/>
      <c r="D207" s="796"/>
      <c r="E207" s="796"/>
      <c r="F207" s="796"/>
      <c r="G207" s="796"/>
      <c r="H207" s="796"/>
      <c r="I207" s="796"/>
      <c r="J207" s="796"/>
      <c r="K207" s="796"/>
      <c r="L207" s="796"/>
      <c r="M207" s="796"/>
      <c r="N207" s="796"/>
      <c r="O207" s="796"/>
      <c r="P207" s="796"/>
      <c r="Q207" s="796"/>
      <c r="R207" s="796"/>
      <c r="S207" s="796"/>
      <c r="T207" s="796"/>
      <c r="U207" s="796"/>
      <c r="V207" s="796"/>
      <c r="W207" s="796"/>
      <c r="X207" s="796"/>
      <c r="Y207" s="796"/>
      <c r="Z207" s="796"/>
      <c r="AA207" s="796"/>
      <c r="AB207" s="796"/>
      <c r="AC207" s="796"/>
      <c r="AD207" s="796"/>
      <c r="AE207" s="796"/>
      <c r="AF207" s="796"/>
      <c r="AG207" s="796"/>
      <c r="AH207" s="796"/>
      <c r="AI207" s="796"/>
      <c r="AJ207" s="796"/>
      <c r="AK207" s="796"/>
      <c r="AL207" s="796"/>
      <c r="AM207" s="796"/>
      <c r="AN207" s="796"/>
      <c r="AO207" s="796"/>
      <c r="AP207" s="796"/>
      <c r="AQ207" s="796"/>
      <c r="AR207" s="796"/>
      <c r="AS207" s="796"/>
      <c r="AT207" s="796"/>
      <c r="AU207" s="796"/>
    </row>
    <row r="208" spans="1:47" ht="13.5">
      <c r="A208" s="796"/>
      <c r="B208" s="796"/>
      <c r="C208" s="796"/>
      <c r="D208" s="796"/>
      <c r="E208" s="796"/>
      <c r="F208" s="796"/>
      <c r="G208" s="796"/>
      <c r="H208" s="796"/>
      <c r="I208" s="796"/>
      <c r="J208" s="796"/>
      <c r="K208" s="796"/>
      <c r="L208" s="796"/>
      <c r="M208" s="796"/>
      <c r="N208" s="796"/>
      <c r="O208" s="796"/>
      <c r="P208" s="796"/>
      <c r="Q208" s="796"/>
      <c r="R208" s="796"/>
      <c r="S208" s="796"/>
      <c r="T208" s="796"/>
      <c r="U208" s="796"/>
      <c r="V208" s="796"/>
      <c r="W208" s="796"/>
      <c r="X208" s="796"/>
      <c r="Y208" s="796"/>
      <c r="Z208" s="796"/>
      <c r="AA208" s="796"/>
      <c r="AB208" s="796"/>
      <c r="AC208" s="796"/>
      <c r="AD208" s="796"/>
      <c r="AE208" s="796"/>
      <c r="AF208" s="796"/>
      <c r="AG208" s="796"/>
      <c r="AH208" s="796"/>
      <c r="AI208" s="796"/>
      <c r="AJ208" s="796"/>
      <c r="AK208" s="796"/>
      <c r="AL208" s="796"/>
      <c r="AM208" s="796"/>
      <c r="AN208" s="796"/>
      <c r="AO208" s="796"/>
      <c r="AP208" s="796"/>
      <c r="AQ208" s="796"/>
      <c r="AR208" s="796"/>
      <c r="AS208" s="796"/>
      <c r="AT208" s="796"/>
      <c r="AU208" s="796"/>
    </row>
    <row r="209" spans="1:47" ht="13.5">
      <c r="A209" s="796"/>
      <c r="B209" s="796"/>
      <c r="C209" s="796"/>
      <c r="D209" s="796"/>
      <c r="E209" s="796"/>
      <c r="F209" s="796"/>
      <c r="G209" s="796"/>
      <c r="H209" s="796"/>
      <c r="I209" s="796"/>
      <c r="J209" s="796"/>
      <c r="K209" s="796"/>
      <c r="L209" s="796"/>
      <c r="M209" s="796"/>
      <c r="N209" s="796"/>
      <c r="O209" s="796"/>
      <c r="P209" s="796"/>
      <c r="Q209" s="796"/>
      <c r="R209" s="796"/>
      <c r="S209" s="796"/>
      <c r="T209" s="796"/>
      <c r="U209" s="796"/>
      <c r="V209" s="796"/>
      <c r="W209" s="796"/>
      <c r="X209" s="796"/>
      <c r="Y209" s="796"/>
      <c r="Z209" s="796"/>
      <c r="AA209" s="796"/>
      <c r="AB209" s="796"/>
      <c r="AC209" s="796"/>
      <c r="AD209" s="796"/>
      <c r="AE209" s="796"/>
      <c r="AF209" s="796"/>
      <c r="AG209" s="796"/>
      <c r="AH209" s="796"/>
      <c r="AI209" s="796"/>
      <c r="AJ209" s="796"/>
      <c r="AK209" s="796"/>
      <c r="AL209" s="796"/>
      <c r="AM209" s="796"/>
      <c r="AN209" s="796"/>
      <c r="AO209" s="796"/>
      <c r="AP209" s="796"/>
      <c r="AQ209" s="796"/>
      <c r="AR209" s="796"/>
      <c r="AS209" s="796"/>
      <c r="AT209" s="796"/>
      <c r="AU209" s="796"/>
    </row>
    <row r="210" spans="1:47" ht="13.5">
      <c r="A210" s="796"/>
      <c r="B210" s="796"/>
      <c r="C210" s="796"/>
      <c r="D210" s="796"/>
      <c r="E210" s="796"/>
      <c r="F210" s="796"/>
      <c r="G210" s="796"/>
      <c r="H210" s="796"/>
      <c r="I210" s="796"/>
      <c r="J210" s="796"/>
      <c r="K210" s="796"/>
      <c r="L210" s="796"/>
      <c r="M210" s="796"/>
      <c r="N210" s="796"/>
      <c r="O210" s="796"/>
      <c r="P210" s="796"/>
      <c r="Q210" s="796"/>
      <c r="R210" s="796"/>
      <c r="S210" s="796"/>
      <c r="T210" s="796"/>
      <c r="U210" s="796"/>
      <c r="V210" s="796"/>
      <c r="W210" s="796"/>
      <c r="X210" s="796"/>
      <c r="Y210" s="796"/>
      <c r="Z210" s="796"/>
      <c r="AA210" s="796"/>
      <c r="AB210" s="796"/>
      <c r="AC210" s="796"/>
      <c r="AD210" s="796"/>
      <c r="AE210" s="796"/>
      <c r="AF210" s="796"/>
      <c r="AG210" s="796"/>
      <c r="AH210" s="796"/>
      <c r="AI210" s="796"/>
      <c r="AJ210" s="796"/>
      <c r="AK210" s="796"/>
      <c r="AL210" s="796"/>
      <c r="AM210" s="796"/>
      <c r="AN210" s="796"/>
      <c r="AO210" s="796"/>
      <c r="AP210" s="796"/>
      <c r="AQ210" s="796"/>
      <c r="AR210" s="796"/>
      <c r="AS210" s="796"/>
      <c r="AT210" s="796"/>
      <c r="AU210" s="796"/>
    </row>
    <row r="211" spans="1:47" ht="13.5">
      <c r="A211" s="796"/>
      <c r="B211" s="796"/>
      <c r="C211" s="796"/>
      <c r="D211" s="796"/>
      <c r="E211" s="796"/>
      <c r="F211" s="796"/>
      <c r="G211" s="796"/>
      <c r="H211" s="796"/>
      <c r="I211" s="796"/>
      <c r="J211" s="796"/>
      <c r="K211" s="796"/>
      <c r="L211" s="796"/>
      <c r="M211" s="796"/>
      <c r="N211" s="796"/>
      <c r="O211" s="796"/>
      <c r="P211" s="796"/>
      <c r="Q211" s="796"/>
      <c r="R211" s="796"/>
      <c r="S211" s="796"/>
      <c r="T211" s="796"/>
      <c r="U211" s="796"/>
      <c r="V211" s="796"/>
      <c r="W211" s="796"/>
      <c r="X211" s="796"/>
      <c r="Y211" s="796"/>
      <c r="Z211" s="796"/>
      <c r="AA211" s="796"/>
      <c r="AB211" s="796"/>
      <c r="AC211" s="796"/>
      <c r="AD211" s="796"/>
      <c r="AE211" s="796"/>
      <c r="AF211" s="796"/>
      <c r="AG211" s="796"/>
      <c r="AH211" s="796"/>
      <c r="AI211" s="796"/>
      <c r="AJ211" s="796"/>
      <c r="AK211" s="796"/>
      <c r="AL211" s="796"/>
      <c r="AM211" s="796"/>
      <c r="AN211" s="796"/>
      <c r="AO211" s="796"/>
      <c r="AP211" s="796"/>
      <c r="AQ211" s="796"/>
      <c r="AR211" s="796"/>
      <c r="AS211" s="796"/>
      <c r="AT211" s="796"/>
      <c r="AU211" s="796"/>
    </row>
    <row r="212" spans="1:47" ht="13.5">
      <c r="A212" s="796"/>
      <c r="B212" s="796"/>
      <c r="C212" s="796"/>
      <c r="D212" s="796"/>
      <c r="E212" s="796"/>
      <c r="F212" s="796"/>
      <c r="G212" s="796"/>
      <c r="H212" s="796"/>
      <c r="I212" s="796"/>
      <c r="J212" s="796"/>
      <c r="K212" s="796"/>
      <c r="L212" s="796"/>
      <c r="M212" s="796"/>
      <c r="N212" s="796"/>
      <c r="O212" s="796"/>
      <c r="P212" s="796"/>
      <c r="Q212" s="796"/>
      <c r="R212" s="796"/>
      <c r="S212" s="796"/>
      <c r="T212" s="796"/>
      <c r="U212" s="796"/>
      <c r="V212" s="796"/>
      <c r="W212" s="796"/>
      <c r="X212" s="796"/>
      <c r="Y212" s="796"/>
      <c r="Z212" s="796"/>
      <c r="AA212" s="796"/>
      <c r="AB212" s="796"/>
      <c r="AC212" s="796"/>
      <c r="AD212" s="796"/>
      <c r="AE212" s="796"/>
      <c r="AF212" s="796"/>
      <c r="AG212" s="796"/>
      <c r="AH212" s="796"/>
      <c r="AI212" s="796"/>
      <c r="AJ212" s="796"/>
      <c r="AK212" s="796"/>
      <c r="AL212" s="796"/>
      <c r="AM212" s="796"/>
      <c r="AN212" s="796"/>
      <c r="AO212" s="796"/>
      <c r="AP212" s="796"/>
      <c r="AQ212" s="796"/>
      <c r="AR212" s="796"/>
      <c r="AS212" s="796"/>
      <c r="AT212" s="796"/>
      <c r="AU212" s="796"/>
    </row>
    <row r="213" spans="1:47" ht="13.5">
      <c r="A213" s="796"/>
      <c r="B213" s="796"/>
      <c r="C213" s="796"/>
      <c r="D213" s="796"/>
      <c r="E213" s="796"/>
      <c r="F213" s="796"/>
      <c r="G213" s="796"/>
      <c r="H213" s="796"/>
      <c r="I213" s="796"/>
      <c r="J213" s="796"/>
      <c r="K213" s="796"/>
      <c r="L213" s="796"/>
      <c r="M213" s="796"/>
      <c r="N213" s="796"/>
      <c r="O213" s="796"/>
      <c r="P213" s="796"/>
      <c r="Q213" s="796"/>
      <c r="R213" s="796"/>
      <c r="S213" s="796"/>
      <c r="T213" s="796"/>
      <c r="U213" s="796"/>
      <c r="V213" s="796"/>
      <c r="W213" s="796"/>
      <c r="X213" s="796"/>
      <c r="Y213" s="796"/>
      <c r="Z213" s="796"/>
      <c r="AA213" s="796"/>
      <c r="AB213" s="796"/>
      <c r="AC213" s="796"/>
      <c r="AD213" s="796"/>
      <c r="AE213" s="796"/>
      <c r="AF213" s="796"/>
      <c r="AG213" s="796"/>
      <c r="AH213" s="796"/>
      <c r="AI213" s="796"/>
      <c r="AJ213" s="796"/>
      <c r="AK213" s="796"/>
      <c r="AL213" s="796"/>
      <c r="AM213" s="796"/>
      <c r="AN213" s="796"/>
      <c r="AO213" s="796"/>
      <c r="AP213" s="796"/>
      <c r="AQ213" s="796"/>
      <c r="AR213" s="796"/>
      <c r="AS213" s="796"/>
      <c r="AT213" s="796"/>
      <c r="AU213" s="796"/>
    </row>
    <row r="214" spans="1:47" ht="13.5">
      <c r="A214" s="796"/>
      <c r="B214" s="796"/>
      <c r="C214" s="796"/>
      <c r="D214" s="796"/>
      <c r="E214" s="796"/>
      <c r="F214" s="796"/>
      <c r="G214" s="796"/>
      <c r="H214" s="796"/>
      <c r="I214" s="796"/>
      <c r="J214" s="796"/>
      <c r="K214" s="796"/>
      <c r="L214" s="796"/>
      <c r="M214" s="796"/>
      <c r="N214" s="796"/>
      <c r="O214" s="796"/>
      <c r="P214" s="796"/>
      <c r="Q214" s="796"/>
      <c r="R214" s="796"/>
      <c r="S214" s="796"/>
      <c r="T214" s="796"/>
      <c r="U214" s="796"/>
      <c r="V214" s="796"/>
      <c r="W214" s="796"/>
      <c r="X214" s="796"/>
      <c r="Y214" s="796"/>
      <c r="Z214" s="796"/>
      <c r="AA214" s="796"/>
      <c r="AB214" s="796"/>
      <c r="AC214" s="796"/>
      <c r="AD214" s="796"/>
      <c r="AE214" s="796"/>
      <c r="AF214" s="796"/>
      <c r="AG214" s="796"/>
      <c r="AH214" s="796"/>
      <c r="AI214" s="796"/>
      <c r="AJ214" s="796"/>
      <c r="AK214" s="796"/>
      <c r="AL214" s="796"/>
      <c r="AM214" s="796"/>
      <c r="AN214" s="796"/>
      <c r="AO214" s="796"/>
      <c r="AP214" s="796"/>
      <c r="AQ214" s="796"/>
      <c r="AR214" s="796"/>
      <c r="AS214" s="796"/>
      <c r="AT214" s="796"/>
      <c r="AU214" s="796"/>
    </row>
    <row r="215" spans="1:47" ht="13.5">
      <c r="A215" s="796"/>
      <c r="B215" s="796"/>
      <c r="C215" s="796"/>
      <c r="D215" s="796"/>
      <c r="E215" s="796"/>
      <c r="F215" s="796"/>
      <c r="G215" s="796"/>
      <c r="H215" s="796"/>
      <c r="I215" s="796"/>
      <c r="J215" s="796"/>
      <c r="K215" s="796"/>
      <c r="L215" s="796"/>
      <c r="M215" s="796"/>
      <c r="N215" s="796"/>
      <c r="O215" s="796"/>
      <c r="P215" s="796"/>
      <c r="Q215" s="796"/>
      <c r="R215" s="796"/>
      <c r="S215" s="796"/>
      <c r="T215" s="796"/>
      <c r="U215" s="796"/>
      <c r="V215" s="796"/>
      <c r="W215" s="796"/>
      <c r="X215" s="796"/>
      <c r="Y215" s="796"/>
      <c r="Z215" s="796"/>
      <c r="AA215" s="796"/>
      <c r="AB215" s="796"/>
      <c r="AC215" s="796"/>
      <c r="AD215" s="796"/>
      <c r="AE215" s="796"/>
      <c r="AF215" s="796"/>
      <c r="AG215" s="796"/>
      <c r="AH215" s="796"/>
      <c r="AI215" s="796"/>
      <c r="AJ215" s="796"/>
      <c r="AK215" s="796"/>
      <c r="AL215" s="796"/>
      <c r="AM215" s="796"/>
      <c r="AN215" s="796"/>
      <c r="AO215" s="796"/>
      <c r="AP215" s="796"/>
      <c r="AQ215" s="796"/>
      <c r="AR215" s="796"/>
      <c r="AS215" s="796"/>
      <c r="AT215" s="796"/>
      <c r="AU215" s="796"/>
    </row>
    <row r="216" spans="1:47" ht="13.5">
      <c r="A216" s="796"/>
      <c r="B216" s="796"/>
      <c r="C216" s="796"/>
      <c r="D216" s="796"/>
      <c r="E216" s="796"/>
      <c r="F216" s="796"/>
      <c r="G216" s="796"/>
      <c r="H216" s="796"/>
      <c r="I216" s="796"/>
      <c r="J216" s="796"/>
      <c r="K216" s="796"/>
      <c r="L216" s="796"/>
      <c r="M216" s="796"/>
      <c r="N216" s="796"/>
      <c r="O216" s="796"/>
      <c r="P216" s="796"/>
      <c r="Q216" s="796"/>
      <c r="R216" s="796"/>
      <c r="S216" s="796"/>
      <c r="T216" s="796"/>
      <c r="U216" s="796"/>
      <c r="V216" s="796"/>
      <c r="W216" s="796"/>
      <c r="X216" s="796"/>
      <c r="Y216" s="796"/>
      <c r="Z216" s="796"/>
      <c r="AA216" s="796"/>
      <c r="AB216" s="796"/>
      <c r="AC216" s="796"/>
      <c r="AD216" s="796"/>
      <c r="AE216" s="796"/>
      <c r="AF216" s="796"/>
      <c r="AG216" s="796"/>
      <c r="AH216" s="796"/>
      <c r="AI216" s="796"/>
      <c r="AJ216" s="796"/>
      <c r="AK216" s="796"/>
      <c r="AL216" s="796"/>
      <c r="AM216" s="796"/>
      <c r="AN216" s="796"/>
      <c r="AO216" s="796"/>
      <c r="AP216" s="796"/>
      <c r="AQ216" s="796"/>
      <c r="AR216" s="796"/>
      <c r="AS216" s="796"/>
      <c r="AT216" s="796"/>
      <c r="AU216" s="796"/>
    </row>
    <row r="217" spans="1:47" ht="13.5">
      <c r="A217" s="796"/>
      <c r="B217" s="796"/>
      <c r="C217" s="796"/>
      <c r="D217" s="796"/>
      <c r="E217" s="796"/>
      <c r="F217" s="796"/>
      <c r="G217" s="796"/>
      <c r="H217" s="796"/>
      <c r="I217" s="796"/>
      <c r="J217" s="796"/>
      <c r="K217" s="796"/>
      <c r="L217" s="796"/>
      <c r="M217" s="796"/>
      <c r="N217" s="796"/>
      <c r="O217" s="796"/>
      <c r="P217" s="796"/>
      <c r="Q217" s="796"/>
      <c r="R217" s="796"/>
      <c r="S217" s="796"/>
      <c r="T217" s="796"/>
      <c r="U217" s="796"/>
      <c r="V217" s="796"/>
      <c r="W217" s="796"/>
      <c r="X217" s="796"/>
      <c r="Y217" s="796"/>
      <c r="Z217" s="796"/>
      <c r="AA217" s="796"/>
      <c r="AB217" s="796"/>
      <c r="AC217" s="796"/>
      <c r="AD217" s="796"/>
      <c r="AE217" s="796"/>
      <c r="AF217" s="796"/>
      <c r="AG217" s="796"/>
      <c r="AH217" s="796"/>
      <c r="AI217" s="796"/>
      <c r="AJ217" s="796"/>
      <c r="AK217" s="796"/>
      <c r="AL217" s="796"/>
      <c r="AM217" s="796"/>
      <c r="AN217" s="796"/>
      <c r="AO217" s="796"/>
      <c r="AP217" s="796"/>
      <c r="AQ217" s="796"/>
      <c r="AR217" s="796"/>
      <c r="AS217" s="796"/>
      <c r="AT217" s="796"/>
      <c r="AU217" s="796"/>
    </row>
    <row r="218" spans="1:47" ht="13.5">
      <c r="A218" s="796"/>
      <c r="B218" s="796"/>
      <c r="C218" s="796"/>
      <c r="D218" s="796"/>
      <c r="E218" s="796"/>
      <c r="F218" s="796"/>
      <c r="G218" s="796"/>
      <c r="H218" s="796"/>
      <c r="I218" s="796"/>
      <c r="J218" s="796"/>
      <c r="K218" s="796"/>
      <c r="L218" s="796"/>
      <c r="M218" s="796"/>
      <c r="N218" s="796"/>
      <c r="O218" s="796"/>
      <c r="P218" s="796"/>
      <c r="Q218" s="796"/>
      <c r="R218" s="796"/>
      <c r="S218" s="796"/>
      <c r="T218" s="796"/>
      <c r="U218" s="796"/>
      <c r="V218" s="796"/>
      <c r="W218" s="796"/>
      <c r="X218" s="796"/>
      <c r="Y218" s="796"/>
      <c r="Z218" s="796"/>
      <c r="AA218" s="796"/>
      <c r="AB218" s="796"/>
      <c r="AC218" s="796"/>
      <c r="AD218" s="796"/>
      <c r="AE218" s="796"/>
      <c r="AF218" s="796"/>
      <c r="AG218" s="796"/>
      <c r="AH218" s="796"/>
      <c r="AI218" s="796"/>
      <c r="AJ218" s="796"/>
      <c r="AK218" s="796"/>
      <c r="AL218" s="796"/>
      <c r="AM218" s="796"/>
      <c r="AN218" s="796"/>
      <c r="AO218" s="796"/>
      <c r="AP218" s="796"/>
      <c r="AQ218" s="796"/>
      <c r="AR218" s="796"/>
      <c r="AS218" s="796"/>
      <c r="AT218" s="796"/>
      <c r="AU218" s="796"/>
    </row>
    <row r="219" spans="1:47" ht="13.5">
      <c r="A219" s="796"/>
      <c r="B219" s="796"/>
      <c r="C219" s="796"/>
      <c r="D219" s="796"/>
      <c r="E219" s="796"/>
      <c r="F219" s="796"/>
      <c r="G219" s="796"/>
      <c r="H219" s="796"/>
      <c r="I219" s="796"/>
      <c r="J219" s="796"/>
      <c r="K219" s="796"/>
      <c r="L219" s="796"/>
      <c r="M219" s="796"/>
      <c r="N219" s="796"/>
      <c r="O219" s="796"/>
      <c r="P219" s="796"/>
      <c r="Q219" s="796"/>
      <c r="R219" s="796"/>
      <c r="S219" s="796"/>
      <c r="T219" s="796"/>
      <c r="U219" s="796"/>
      <c r="V219" s="796"/>
      <c r="W219" s="796"/>
      <c r="X219" s="796"/>
      <c r="Y219" s="796"/>
      <c r="Z219" s="796"/>
      <c r="AA219" s="796"/>
      <c r="AB219" s="796"/>
      <c r="AC219" s="796"/>
      <c r="AD219" s="796"/>
      <c r="AE219" s="796"/>
      <c r="AF219" s="796"/>
      <c r="AG219" s="796"/>
      <c r="AH219" s="796"/>
      <c r="AI219" s="796"/>
      <c r="AJ219" s="796"/>
      <c r="AK219" s="796"/>
      <c r="AL219" s="796"/>
      <c r="AM219" s="796"/>
      <c r="AN219" s="796"/>
      <c r="AO219" s="796"/>
      <c r="AP219" s="796"/>
      <c r="AQ219" s="796"/>
      <c r="AR219" s="796"/>
      <c r="AS219" s="796"/>
      <c r="AT219" s="796"/>
      <c r="AU219" s="796"/>
    </row>
    <row r="220" spans="1:47" ht="13.5">
      <c r="A220" s="796"/>
      <c r="B220" s="796"/>
      <c r="C220" s="796"/>
      <c r="D220" s="796"/>
      <c r="E220" s="796"/>
      <c r="F220" s="796"/>
      <c r="G220" s="796"/>
      <c r="H220" s="796"/>
      <c r="I220" s="796"/>
      <c r="J220" s="796"/>
      <c r="K220" s="796"/>
      <c r="L220" s="796"/>
      <c r="M220" s="796"/>
      <c r="N220" s="796"/>
      <c r="O220" s="796"/>
      <c r="P220" s="796"/>
      <c r="Q220" s="796"/>
      <c r="R220" s="796"/>
      <c r="S220" s="796"/>
      <c r="T220" s="796"/>
      <c r="U220" s="796"/>
      <c r="V220" s="796"/>
      <c r="W220" s="796"/>
      <c r="X220" s="796"/>
      <c r="Y220" s="796"/>
      <c r="Z220" s="796"/>
      <c r="AA220" s="796"/>
      <c r="AB220" s="796"/>
      <c r="AC220" s="796"/>
      <c r="AD220" s="796"/>
      <c r="AE220" s="796"/>
      <c r="AF220" s="796"/>
      <c r="AG220" s="796"/>
      <c r="AH220" s="796"/>
      <c r="AI220" s="796"/>
      <c r="AJ220" s="796"/>
      <c r="AK220" s="796"/>
      <c r="AL220" s="796"/>
      <c r="AM220" s="796"/>
      <c r="AN220" s="796"/>
      <c r="AO220" s="796"/>
      <c r="AP220" s="796"/>
      <c r="AQ220" s="796"/>
      <c r="AR220" s="796"/>
      <c r="AS220" s="796"/>
      <c r="AT220" s="796"/>
      <c r="AU220" s="796"/>
    </row>
    <row r="221" spans="1:47" ht="13.5">
      <c r="A221" s="796"/>
      <c r="B221" s="796"/>
      <c r="C221" s="796"/>
      <c r="D221" s="796"/>
      <c r="E221" s="796"/>
      <c r="F221" s="796"/>
      <c r="G221" s="796"/>
      <c r="H221" s="796"/>
      <c r="I221" s="796"/>
      <c r="J221" s="796"/>
      <c r="K221" s="796"/>
      <c r="L221" s="796"/>
      <c r="M221" s="796"/>
      <c r="N221" s="796"/>
      <c r="O221" s="796"/>
      <c r="P221" s="796"/>
      <c r="Q221" s="796"/>
      <c r="R221" s="796"/>
      <c r="S221" s="796"/>
      <c r="T221" s="796"/>
      <c r="U221" s="796"/>
      <c r="V221" s="796"/>
      <c r="W221" s="796"/>
      <c r="X221" s="796"/>
      <c r="Y221" s="796"/>
      <c r="Z221" s="796"/>
      <c r="AA221" s="796"/>
      <c r="AB221" s="796"/>
      <c r="AC221" s="796"/>
      <c r="AD221" s="796"/>
      <c r="AE221" s="796"/>
      <c r="AF221" s="796"/>
      <c r="AG221" s="796"/>
      <c r="AH221" s="796"/>
      <c r="AI221" s="796"/>
      <c r="AJ221" s="796"/>
      <c r="AK221" s="796"/>
      <c r="AL221" s="796"/>
      <c r="AM221" s="796"/>
      <c r="AN221" s="796"/>
      <c r="AO221" s="796"/>
      <c r="AP221" s="796"/>
      <c r="AQ221" s="796"/>
      <c r="AR221" s="796"/>
      <c r="AS221" s="796"/>
      <c r="AT221" s="796"/>
      <c r="AU221" s="796"/>
    </row>
    <row r="222" spans="1:47" ht="13.5">
      <c r="A222" s="796"/>
      <c r="B222" s="796"/>
      <c r="C222" s="796"/>
      <c r="D222" s="796"/>
      <c r="E222" s="796"/>
      <c r="F222" s="796"/>
      <c r="G222" s="796"/>
      <c r="H222" s="796"/>
      <c r="I222" s="796"/>
      <c r="J222" s="796"/>
      <c r="K222" s="796"/>
      <c r="L222" s="796"/>
      <c r="M222" s="796"/>
      <c r="N222" s="796"/>
      <c r="O222" s="796"/>
      <c r="P222" s="796"/>
      <c r="Q222" s="796"/>
      <c r="R222" s="796"/>
      <c r="S222" s="796"/>
      <c r="T222" s="796"/>
      <c r="U222" s="796"/>
      <c r="V222" s="796"/>
      <c r="W222" s="796"/>
      <c r="X222" s="796"/>
      <c r="Y222" s="796"/>
      <c r="Z222" s="796"/>
      <c r="AA222" s="796"/>
      <c r="AB222" s="796"/>
      <c r="AC222" s="796"/>
      <c r="AD222" s="796"/>
      <c r="AE222" s="796"/>
      <c r="AF222" s="796"/>
      <c r="AG222" s="796"/>
      <c r="AH222" s="796"/>
      <c r="AI222" s="796"/>
      <c r="AJ222" s="796"/>
      <c r="AK222" s="796"/>
      <c r="AL222" s="796"/>
      <c r="AM222" s="796"/>
      <c r="AN222" s="796"/>
      <c r="AO222" s="796"/>
      <c r="AP222" s="796"/>
      <c r="AQ222" s="796"/>
      <c r="AR222" s="796"/>
      <c r="AS222" s="796"/>
      <c r="AT222" s="796"/>
      <c r="AU222" s="796"/>
    </row>
    <row r="223" spans="1:47" ht="13.5">
      <c r="A223" s="796"/>
      <c r="B223" s="796"/>
      <c r="C223" s="796"/>
      <c r="D223" s="796"/>
      <c r="E223" s="796"/>
      <c r="F223" s="796"/>
      <c r="G223" s="796"/>
      <c r="H223" s="796"/>
      <c r="I223" s="796"/>
      <c r="J223" s="796"/>
      <c r="K223" s="796"/>
      <c r="L223" s="796"/>
      <c r="M223" s="796"/>
      <c r="N223" s="796"/>
      <c r="O223" s="796"/>
      <c r="P223" s="796"/>
      <c r="Q223" s="796"/>
      <c r="R223" s="796"/>
      <c r="S223" s="796"/>
      <c r="T223" s="796"/>
      <c r="U223" s="796"/>
      <c r="V223" s="796"/>
      <c r="W223" s="796"/>
      <c r="X223" s="796"/>
      <c r="Y223" s="796"/>
      <c r="Z223" s="796"/>
      <c r="AA223" s="796"/>
      <c r="AB223" s="796"/>
      <c r="AC223" s="796"/>
      <c r="AD223" s="796"/>
      <c r="AE223" s="796"/>
      <c r="AF223" s="796"/>
      <c r="AG223" s="796"/>
      <c r="AH223" s="796"/>
      <c r="AI223" s="796"/>
      <c r="AJ223" s="796"/>
      <c r="AK223" s="796"/>
      <c r="AL223" s="796"/>
      <c r="AM223" s="796"/>
      <c r="AN223" s="796"/>
      <c r="AO223" s="796"/>
      <c r="AP223" s="796"/>
      <c r="AQ223" s="796"/>
      <c r="AR223" s="796"/>
      <c r="AS223" s="796"/>
      <c r="AT223" s="796"/>
      <c r="AU223" s="796"/>
    </row>
    <row r="224" spans="1:47" ht="13.5">
      <c r="A224" s="796"/>
      <c r="B224" s="796"/>
      <c r="C224" s="796"/>
      <c r="D224" s="796"/>
      <c r="E224" s="796"/>
      <c r="F224" s="796"/>
      <c r="G224" s="796"/>
      <c r="H224" s="796"/>
      <c r="I224" s="796"/>
      <c r="J224" s="796"/>
      <c r="K224" s="796"/>
      <c r="L224" s="796"/>
      <c r="M224" s="796"/>
      <c r="N224" s="796"/>
      <c r="O224" s="796"/>
      <c r="P224" s="796"/>
      <c r="Q224" s="796"/>
      <c r="R224" s="796"/>
      <c r="S224" s="796"/>
      <c r="T224" s="796"/>
      <c r="U224" s="796"/>
      <c r="V224" s="796"/>
      <c r="W224" s="796"/>
      <c r="X224" s="796"/>
      <c r="Y224" s="796"/>
      <c r="Z224" s="796"/>
      <c r="AA224" s="796"/>
      <c r="AB224" s="796"/>
      <c r="AC224" s="796"/>
      <c r="AD224" s="796"/>
      <c r="AE224" s="796"/>
      <c r="AF224" s="796"/>
      <c r="AG224" s="796"/>
      <c r="AH224" s="796"/>
      <c r="AI224" s="796"/>
      <c r="AJ224" s="796"/>
      <c r="AK224" s="796"/>
      <c r="AL224" s="796"/>
      <c r="AM224" s="796"/>
      <c r="AN224" s="796"/>
      <c r="AO224" s="796"/>
      <c r="AP224" s="796"/>
      <c r="AQ224" s="796"/>
      <c r="AR224" s="796"/>
      <c r="AS224" s="796"/>
      <c r="AT224" s="796"/>
      <c r="AU224" s="796"/>
    </row>
    <row r="225" spans="1:47" ht="13.5">
      <c r="A225" s="796"/>
      <c r="B225" s="796"/>
      <c r="C225" s="796"/>
      <c r="D225" s="796"/>
      <c r="E225" s="796"/>
      <c r="F225" s="796"/>
      <c r="G225" s="796"/>
      <c r="H225" s="796"/>
      <c r="I225" s="796"/>
      <c r="J225" s="796"/>
      <c r="K225" s="796"/>
      <c r="L225" s="796"/>
      <c r="M225" s="796"/>
      <c r="N225" s="796"/>
      <c r="O225" s="796"/>
      <c r="P225" s="796"/>
      <c r="Q225" s="796"/>
      <c r="R225" s="796"/>
      <c r="S225" s="796"/>
      <c r="T225" s="796"/>
      <c r="U225" s="796"/>
      <c r="V225" s="796"/>
      <c r="W225" s="796"/>
      <c r="X225" s="796"/>
      <c r="Y225" s="796"/>
      <c r="Z225" s="796"/>
      <c r="AA225" s="796"/>
      <c r="AB225" s="796"/>
      <c r="AC225" s="796"/>
      <c r="AD225" s="796"/>
      <c r="AE225" s="796"/>
      <c r="AF225" s="796"/>
      <c r="AG225" s="796"/>
      <c r="AH225" s="796"/>
      <c r="AI225" s="796"/>
      <c r="AJ225" s="796"/>
      <c r="AK225" s="796"/>
      <c r="AL225" s="796"/>
      <c r="AM225" s="796"/>
      <c r="AN225" s="796"/>
      <c r="AO225" s="796"/>
      <c r="AP225" s="796"/>
      <c r="AQ225" s="796"/>
      <c r="AR225" s="796"/>
      <c r="AS225" s="796"/>
      <c r="AT225" s="796"/>
      <c r="AU225" s="796"/>
    </row>
    <row r="226" spans="1:47" ht="13.5">
      <c r="A226" s="796"/>
      <c r="B226" s="796"/>
      <c r="C226" s="796"/>
      <c r="D226" s="796"/>
      <c r="E226" s="796"/>
      <c r="F226" s="796"/>
      <c r="G226" s="796"/>
      <c r="H226" s="796"/>
      <c r="I226" s="796"/>
      <c r="J226" s="796"/>
      <c r="K226" s="796"/>
      <c r="L226" s="796"/>
      <c r="M226" s="796"/>
      <c r="N226" s="796"/>
      <c r="O226" s="796"/>
      <c r="P226" s="796"/>
      <c r="Q226" s="796"/>
      <c r="R226" s="796"/>
      <c r="S226" s="796"/>
      <c r="T226" s="796"/>
      <c r="U226" s="796"/>
      <c r="V226" s="796"/>
      <c r="W226" s="796"/>
      <c r="X226" s="796"/>
      <c r="Y226" s="796"/>
      <c r="Z226" s="796"/>
      <c r="AA226" s="796"/>
      <c r="AB226" s="796"/>
      <c r="AC226" s="796"/>
      <c r="AD226" s="796"/>
      <c r="AE226" s="796"/>
      <c r="AF226" s="796"/>
      <c r="AG226" s="796"/>
      <c r="AH226" s="796"/>
      <c r="AI226" s="796"/>
      <c r="AJ226" s="796"/>
      <c r="AK226" s="796"/>
      <c r="AL226" s="796"/>
      <c r="AM226" s="796"/>
      <c r="AN226" s="796"/>
      <c r="AO226" s="796"/>
      <c r="AP226" s="796"/>
      <c r="AQ226" s="796"/>
      <c r="AR226" s="796"/>
      <c r="AS226" s="796"/>
      <c r="AT226" s="796"/>
      <c r="AU226" s="796"/>
    </row>
    <row r="227" spans="1:47" ht="13.5">
      <c r="A227" s="796"/>
      <c r="B227" s="796"/>
      <c r="C227" s="796"/>
      <c r="D227" s="796"/>
      <c r="E227" s="796"/>
      <c r="F227" s="796"/>
      <c r="G227" s="796"/>
      <c r="H227" s="796"/>
      <c r="I227" s="796"/>
      <c r="J227" s="796"/>
      <c r="K227" s="796"/>
      <c r="L227" s="796"/>
      <c r="M227" s="796"/>
      <c r="N227" s="796"/>
      <c r="O227" s="796"/>
      <c r="P227" s="796"/>
      <c r="Q227" s="796"/>
      <c r="R227" s="796"/>
      <c r="S227" s="796"/>
      <c r="T227" s="796"/>
      <c r="U227" s="796"/>
      <c r="V227" s="796"/>
      <c r="W227" s="796"/>
      <c r="X227" s="796"/>
      <c r="Y227" s="796"/>
      <c r="Z227" s="796"/>
      <c r="AA227" s="796"/>
      <c r="AB227" s="796"/>
      <c r="AC227" s="796"/>
      <c r="AD227" s="796"/>
      <c r="AE227" s="796"/>
      <c r="AF227" s="796"/>
      <c r="AG227" s="796"/>
      <c r="AH227" s="796"/>
      <c r="AI227" s="796"/>
      <c r="AJ227" s="796"/>
      <c r="AK227" s="796"/>
      <c r="AL227" s="796"/>
      <c r="AM227" s="796"/>
      <c r="AN227" s="796"/>
      <c r="AO227" s="796"/>
      <c r="AP227" s="796"/>
      <c r="AQ227" s="796"/>
      <c r="AR227" s="796"/>
      <c r="AS227" s="796"/>
      <c r="AT227" s="796"/>
      <c r="AU227" s="796"/>
    </row>
    <row r="228" spans="1:47" ht="13.5">
      <c r="A228" s="796"/>
      <c r="B228" s="796"/>
      <c r="C228" s="796"/>
      <c r="D228" s="796"/>
      <c r="E228" s="796"/>
      <c r="F228" s="796"/>
      <c r="G228" s="796"/>
      <c r="H228" s="796"/>
      <c r="I228" s="796"/>
      <c r="J228" s="796"/>
      <c r="K228" s="796"/>
      <c r="L228" s="796"/>
      <c r="M228" s="796"/>
      <c r="N228" s="796"/>
      <c r="O228" s="796"/>
      <c r="P228" s="796"/>
      <c r="Q228" s="796"/>
      <c r="R228" s="796"/>
      <c r="S228" s="796"/>
      <c r="T228" s="796"/>
      <c r="U228" s="796"/>
      <c r="V228" s="796"/>
      <c r="W228" s="796"/>
      <c r="X228" s="796"/>
      <c r="Y228" s="796"/>
      <c r="Z228" s="796"/>
      <c r="AA228" s="796"/>
      <c r="AB228" s="796"/>
      <c r="AC228" s="796"/>
      <c r="AD228" s="796"/>
      <c r="AE228" s="796"/>
      <c r="AF228" s="796"/>
      <c r="AG228" s="796"/>
      <c r="AH228" s="796"/>
      <c r="AI228" s="796"/>
      <c r="AJ228" s="796"/>
      <c r="AK228" s="796"/>
      <c r="AL228" s="796"/>
      <c r="AM228" s="796"/>
      <c r="AN228" s="796"/>
      <c r="AO228" s="796"/>
      <c r="AP228" s="796"/>
      <c r="AQ228" s="796"/>
      <c r="AR228" s="796"/>
      <c r="AS228" s="796"/>
      <c r="AT228" s="796"/>
      <c r="AU228" s="796"/>
    </row>
    <row r="229" spans="1:47" ht="13.5">
      <c r="A229" s="796"/>
      <c r="B229" s="796"/>
      <c r="C229" s="796"/>
      <c r="D229" s="796"/>
      <c r="E229" s="796"/>
      <c r="F229" s="796"/>
      <c r="G229" s="796"/>
      <c r="H229" s="796"/>
      <c r="I229" s="796"/>
      <c r="J229" s="796"/>
      <c r="K229" s="796"/>
      <c r="L229" s="796"/>
      <c r="M229" s="796"/>
      <c r="N229" s="796"/>
      <c r="O229" s="796"/>
      <c r="P229" s="796"/>
      <c r="Q229" s="796"/>
      <c r="R229" s="796"/>
      <c r="S229" s="796"/>
      <c r="T229" s="796"/>
      <c r="U229" s="796"/>
      <c r="V229" s="796"/>
      <c r="W229" s="796"/>
      <c r="X229" s="796"/>
      <c r="Y229" s="796"/>
      <c r="Z229" s="796"/>
      <c r="AA229" s="796"/>
      <c r="AB229" s="796"/>
      <c r="AC229" s="796"/>
      <c r="AD229" s="796"/>
      <c r="AE229" s="796"/>
      <c r="AF229" s="796"/>
      <c r="AG229" s="796"/>
      <c r="AH229" s="796"/>
      <c r="AI229" s="796"/>
      <c r="AJ229" s="796"/>
      <c r="AK229" s="796"/>
      <c r="AL229" s="796"/>
      <c r="AM229" s="796"/>
      <c r="AN229" s="796"/>
      <c r="AO229" s="796"/>
      <c r="AP229" s="796"/>
      <c r="AQ229" s="796"/>
      <c r="AR229" s="796"/>
      <c r="AS229" s="796"/>
      <c r="AT229" s="796"/>
      <c r="AU229" s="796"/>
    </row>
    <row r="230" spans="1:47" ht="13.5">
      <c r="A230" s="796"/>
      <c r="B230" s="796"/>
      <c r="C230" s="796"/>
      <c r="D230" s="796"/>
      <c r="E230" s="796"/>
      <c r="F230" s="796"/>
      <c r="G230" s="796"/>
      <c r="H230" s="796"/>
      <c r="I230" s="796"/>
      <c r="J230" s="796"/>
      <c r="K230" s="796"/>
      <c r="L230" s="796"/>
      <c r="M230" s="796"/>
      <c r="N230" s="796"/>
      <c r="O230" s="796"/>
      <c r="P230" s="796"/>
      <c r="Q230" s="796"/>
      <c r="R230" s="796"/>
      <c r="S230" s="796"/>
      <c r="T230" s="796"/>
      <c r="U230" s="796"/>
      <c r="V230" s="796"/>
      <c r="W230" s="796"/>
      <c r="X230" s="796"/>
      <c r="Y230" s="796"/>
      <c r="Z230" s="796"/>
      <c r="AA230" s="796"/>
      <c r="AB230" s="796"/>
      <c r="AC230" s="796"/>
      <c r="AD230" s="796"/>
      <c r="AE230" s="796"/>
      <c r="AF230" s="796"/>
      <c r="AG230" s="796"/>
      <c r="AH230" s="796"/>
      <c r="AI230" s="796"/>
      <c r="AJ230" s="796"/>
      <c r="AK230" s="796"/>
      <c r="AL230" s="796"/>
      <c r="AM230" s="796"/>
      <c r="AN230" s="796"/>
      <c r="AO230" s="796"/>
      <c r="AP230" s="796"/>
      <c r="AQ230" s="796"/>
      <c r="AR230" s="796"/>
      <c r="AS230" s="796"/>
      <c r="AT230" s="796"/>
      <c r="AU230" s="796"/>
    </row>
    <row r="231" spans="1:47" ht="13.5">
      <c r="A231" s="796"/>
      <c r="B231" s="796"/>
      <c r="C231" s="796"/>
      <c r="D231" s="796"/>
      <c r="E231" s="796"/>
      <c r="F231" s="796"/>
      <c r="G231" s="796"/>
      <c r="H231" s="796"/>
      <c r="I231" s="796"/>
      <c r="J231" s="796"/>
      <c r="K231" s="796"/>
      <c r="L231" s="796"/>
      <c r="M231" s="796"/>
      <c r="N231" s="796"/>
      <c r="O231" s="796"/>
      <c r="P231" s="796"/>
      <c r="Q231" s="796"/>
      <c r="R231" s="796"/>
      <c r="S231" s="796"/>
      <c r="T231" s="796"/>
      <c r="U231" s="796"/>
      <c r="V231" s="796"/>
      <c r="W231" s="796"/>
      <c r="X231" s="796"/>
      <c r="Y231" s="796"/>
      <c r="Z231" s="796"/>
      <c r="AA231" s="796"/>
      <c r="AB231" s="796"/>
      <c r="AC231" s="796"/>
      <c r="AD231" s="796"/>
      <c r="AE231" s="796"/>
      <c r="AF231" s="796"/>
      <c r="AG231" s="796"/>
      <c r="AH231" s="796"/>
      <c r="AI231" s="796"/>
      <c r="AJ231" s="796"/>
      <c r="AK231" s="796"/>
      <c r="AL231" s="796"/>
      <c r="AM231" s="796"/>
      <c r="AN231" s="796"/>
      <c r="AO231" s="796"/>
      <c r="AP231" s="796"/>
      <c r="AQ231" s="796"/>
      <c r="AR231" s="796"/>
      <c r="AS231" s="796"/>
      <c r="AT231" s="796"/>
      <c r="AU231" s="796"/>
    </row>
    <row r="232" spans="1:47" ht="13.5">
      <c r="A232" s="796"/>
      <c r="B232" s="796"/>
      <c r="C232" s="796"/>
      <c r="D232" s="796"/>
      <c r="E232" s="796"/>
      <c r="F232" s="796"/>
      <c r="G232" s="796"/>
      <c r="H232" s="796"/>
      <c r="I232" s="796"/>
      <c r="J232" s="796"/>
      <c r="K232" s="796"/>
      <c r="L232" s="796"/>
      <c r="M232" s="796"/>
      <c r="N232" s="796"/>
      <c r="O232" s="796"/>
      <c r="P232" s="796"/>
      <c r="Q232" s="796"/>
      <c r="R232" s="796"/>
      <c r="S232" s="796"/>
      <c r="T232" s="796"/>
      <c r="U232" s="796"/>
      <c r="V232" s="796"/>
      <c r="W232" s="796"/>
      <c r="X232" s="796"/>
      <c r="Y232" s="796"/>
      <c r="Z232" s="796"/>
      <c r="AA232" s="796"/>
      <c r="AB232" s="796"/>
      <c r="AC232" s="796"/>
      <c r="AD232" s="796"/>
      <c r="AE232" s="796"/>
      <c r="AF232" s="796"/>
      <c r="AG232" s="796"/>
      <c r="AH232" s="796"/>
      <c r="AI232" s="796"/>
      <c r="AJ232" s="796"/>
      <c r="AK232" s="796"/>
      <c r="AL232" s="796"/>
      <c r="AM232" s="796"/>
      <c r="AN232" s="796"/>
      <c r="AO232" s="796"/>
      <c r="AP232" s="796"/>
      <c r="AQ232" s="796"/>
      <c r="AR232" s="796"/>
      <c r="AS232" s="796"/>
      <c r="AT232" s="796"/>
      <c r="AU232" s="796"/>
    </row>
    <row r="233" spans="1:47" ht="13.5">
      <c r="A233" s="796"/>
      <c r="B233" s="796"/>
      <c r="C233" s="796"/>
      <c r="D233" s="796"/>
      <c r="E233" s="796"/>
      <c r="F233" s="796"/>
      <c r="G233" s="796"/>
      <c r="H233" s="796"/>
      <c r="I233" s="796"/>
      <c r="J233" s="796"/>
      <c r="K233" s="796"/>
      <c r="L233" s="796"/>
      <c r="M233" s="796"/>
      <c r="N233" s="796"/>
      <c r="O233" s="796"/>
      <c r="P233" s="796"/>
      <c r="Q233" s="796"/>
      <c r="R233" s="796"/>
      <c r="S233" s="796"/>
      <c r="T233" s="796"/>
      <c r="U233" s="796"/>
      <c r="V233" s="796"/>
      <c r="W233" s="796"/>
      <c r="X233" s="796"/>
      <c r="Y233" s="796"/>
      <c r="Z233" s="796"/>
      <c r="AA233" s="796"/>
      <c r="AB233" s="796"/>
      <c r="AC233" s="796"/>
      <c r="AD233" s="796"/>
      <c r="AE233" s="796"/>
      <c r="AF233" s="796"/>
      <c r="AG233" s="796"/>
      <c r="AH233" s="796"/>
      <c r="AI233" s="796"/>
      <c r="AJ233" s="796"/>
      <c r="AK233" s="796"/>
      <c r="AL233" s="796"/>
      <c r="AM233" s="796"/>
      <c r="AN233" s="796"/>
      <c r="AO233" s="796"/>
      <c r="AP233" s="796"/>
      <c r="AQ233" s="796"/>
      <c r="AR233" s="796"/>
      <c r="AS233" s="796"/>
      <c r="AT233" s="796"/>
      <c r="AU233" s="796"/>
    </row>
    <row r="234" spans="1:47" ht="13.5">
      <c r="A234" s="796"/>
      <c r="B234" s="796"/>
      <c r="C234" s="796"/>
      <c r="D234" s="796"/>
      <c r="E234" s="796"/>
      <c r="F234" s="796"/>
      <c r="G234" s="796"/>
      <c r="H234" s="796"/>
      <c r="I234" s="796"/>
      <c r="J234" s="796"/>
      <c r="K234" s="796"/>
      <c r="L234" s="796"/>
      <c r="M234" s="796"/>
      <c r="N234" s="796"/>
      <c r="O234" s="796"/>
      <c r="P234" s="796"/>
      <c r="Q234" s="796"/>
      <c r="R234" s="796"/>
      <c r="S234" s="796"/>
      <c r="T234" s="796"/>
      <c r="U234" s="796"/>
      <c r="V234" s="796"/>
      <c r="W234" s="796"/>
      <c r="X234" s="796"/>
      <c r="Y234" s="796"/>
      <c r="Z234" s="796"/>
      <c r="AA234" s="796"/>
      <c r="AB234" s="796"/>
      <c r="AC234" s="796"/>
      <c r="AD234" s="796"/>
      <c r="AE234" s="796"/>
      <c r="AF234" s="796"/>
      <c r="AG234" s="796"/>
      <c r="AH234" s="796"/>
      <c r="AI234" s="796"/>
      <c r="AJ234" s="796"/>
      <c r="AK234" s="796"/>
      <c r="AL234" s="796"/>
      <c r="AM234" s="796"/>
      <c r="AN234" s="796"/>
      <c r="AO234" s="796"/>
      <c r="AP234" s="796"/>
      <c r="AQ234" s="796"/>
      <c r="AR234" s="796"/>
      <c r="AS234" s="796"/>
      <c r="AT234" s="796"/>
      <c r="AU234" s="796"/>
    </row>
    <row r="235" spans="1:47" ht="13.5">
      <c r="A235" s="796"/>
      <c r="B235" s="796"/>
      <c r="C235" s="796"/>
      <c r="D235" s="796"/>
      <c r="E235" s="796"/>
      <c r="F235" s="796"/>
      <c r="G235" s="796"/>
      <c r="H235" s="796"/>
      <c r="I235" s="796"/>
      <c r="J235" s="796"/>
      <c r="K235" s="796"/>
      <c r="L235" s="796"/>
      <c r="M235" s="796"/>
      <c r="N235" s="796"/>
      <c r="O235" s="796"/>
      <c r="P235" s="796"/>
      <c r="Q235" s="796"/>
      <c r="R235" s="796"/>
      <c r="S235" s="796"/>
      <c r="T235" s="796"/>
      <c r="U235" s="796"/>
      <c r="V235" s="796"/>
      <c r="W235" s="796"/>
      <c r="X235" s="796"/>
      <c r="Y235" s="796"/>
      <c r="Z235" s="796"/>
      <c r="AA235" s="796"/>
      <c r="AB235" s="796"/>
      <c r="AC235" s="796"/>
      <c r="AD235" s="796"/>
      <c r="AE235" s="796"/>
      <c r="AF235" s="796"/>
      <c r="AG235" s="796"/>
      <c r="AH235" s="796"/>
      <c r="AI235" s="796"/>
      <c r="AJ235" s="796"/>
      <c r="AK235" s="796"/>
      <c r="AL235" s="796"/>
      <c r="AM235" s="796"/>
      <c r="AN235" s="796"/>
      <c r="AO235" s="796"/>
      <c r="AP235" s="796"/>
      <c r="AQ235" s="796"/>
      <c r="AR235" s="796"/>
      <c r="AS235" s="796"/>
      <c r="AT235" s="796"/>
      <c r="AU235" s="796"/>
    </row>
    <row r="236" spans="1:47" ht="13.5">
      <c r="A236" s="796"/>
      <c r="B236" s="796"/>
      <c r="C236" s="796"/>
      <c r="D236" s="796"/>
      <c r="E236" s="796"/>
      <c r="F236" s="796"/>
      <c r="G236" s="796"/>
      <c r="H236" s="796"/>
      <c r="I236" s="796"/>
      <c r="J236" s="796"/>
      <c r="K236" s="796"/>
      <c r="L236" s="796"/>
      <c r="M236" s="796"/>
      <c r="N236" s="796"/>
      <c r="O236" s="796"/>
      <c r="P236" s="796"/>
      <c r="Q236" s="796"/>
      <c r="R236" s="796"/>
      <c r="S236" s="796"/>
      <c r="T236" s="796"/>
      <c r="U236" s="796"/>
      <c r="V236" s="796"/>
      <c r="W236" s="796"/>
      <c r="X236" s="796"/>
      <c r="Y236" s="796"/>
      <c r="Z236" s="796"/>
      <c r="AA236" s="796"/>
      <c r="AB236" s="796"/>
      <c r="AC236" s="796"/>
      <c r="AD236" s="796"/>
      <c r="AE236" s="796"/>
      <c r="AF236" s="796"/>
      <c r="AG236" s="796"/>
      <c r="AH236" s="796"/>
      <c r="AI236" s="796"/>
      <c r="AJ236" s="796"/>
      <c r="AK236" s="796"/>
      <c r="AL236" s="796"/>
      <c r="AM236" s="796"/>
      <c r="AN236" s="796"/>
      <c r="AO236" s="796"/>
      <c r="AP236" s="796"/>
      <c r="AQ236" s="796"/>
      <c r="AR236" s="796"/>
      <c r="AS236" s="796"/>
      <c r="AT236" s="796"/>
      <c r="AU236" s="796"/>
    </row>
    <row r="237" spans="1:47" ht="13.5">
      <c r="A237" s="796"/>
      <c r="B237" s="796"/>
      <c r="C237" s="796"/>
      <c r="D237" s="796"/>
      <c r="E237" s="796"/>
      <c r="F237" s="796"/>
      <c r="G237" s="796"/>
      <c r="H237" s="796"/>
      <c r="I237" s="796"/>
      <c r="J237" s="796"/>
      <c r="K237" s="796"/>
      <c r="L237" s="796"/>
      <c r="M237" s="796"/>
      <c r="N237" s="796"/>
      <c r="O237" s="796"/>
      <c r="P237" s="796"/>
      <c r="Q237" s="796"/>
      <c r="R237" s="796"/>
      <c r="S237" s="796"/>
      <c r="T237" s="796"/>
      <c r="U237" s="796"/>
      <c r="V237" s="796"/>
      <c r="W237" s="796"/>
      <c r="X237" s="796"/>
      <c r="Y237" s="796"/>
      <c r="Z237" s="796"/>
      <c r="AA237" s="796"/>
      <c r="AB237" s="796"/>
      <c r="AC237" s="796"/>
      <c r="AD237" s="796"/>
      <c r="AE237" s="796"/>
      <c r="AF237" s="796"/>
      <c r="AG237" s="796"/>
      <c r="AH237" s="796"/>
      <c r="AI237" s="796"/>
      <c r="AJ237" s="796"/>
      <c r="AK237" s="796"/>
      <c r="AL237" s="796"/>
      <c r="AM237" s="796"/>
      <c r="AN237" s="796"/>
      <c r="AO237" s="796"/>
      <c r="AP237" s="796"/>
      <c r="AQ237" s="796"/>
      <c r="AR237" s="796"/>
      <c r="AS237" s="796"/>
      <c r="AT237" s="796"/>
      <c r="AU237" s="796"/>
    </row>
    <row r="238" spans="1:47" ht="13.5">
      <c r="A238" s="796"/>
      <c r="B238" s="796"/>
      <c r="C238" s="796"/>
      <c r="D238" s="796"/>
      <c r="E238" s="796"/>
      <c r="F238" s="796"/>
      <c r="G238" s="796"/>
      <c r="H238" s="796"/>
      <c r="I238" s="796"/>
      <c r="J238" s="796"/>
      <c r="K238" s="796"/>
      <c r="L238" s="796"/>
      <c r="M238" s="796"/>
      <c r="N238" s="796"/>
      <c r="O238" s="796"/>
      <c r="P238" s="796"/>
      <c r="Q238" s="796"/>
      <c r="R238" s="796"/>
      <c r="S238" s="796"/>
      <c r="T238" s="796"/>
      <c r="U238" s="796"/>
      <c r="V238" s="796"/>
      <c r="W238" s="796"/>
      <c r="X238" s="796"/>
      <c r="Y238" s="796"/>
      <c r="Z238" s="796"/>
      <c r="AA238" s="796"/>
      <c r="AB238" s="796"/>
      <c r="AC238" s="796"/>
      <c r="AD238" s="796"/>
      <c r="AE238" s="796"/>
      <c r="AF238" s="796"/>
      <c r="AG238" s="796"/>
      <c r="AH238" s="796"/>
      <c r="AI238" s="796"/>
      <c r="AJ238" s="796"/>
      <c r="AK238" s="796"/>
      <c r="AL238" s="796"/>
      <c r="AM238" s="796"/>
      <c r="AN238" s="796"/>
      <c r="AO238" s="796"/>
      <c r="AP238" s="796"/>
      <c r="AQ238" s="796"/>
      <c r="AR238" s="796"/>
      <c r="AS238" s="796"/>
      <c r="AT238" s="796"/>
      <c r="AU238" s="796"/>
    </row>
    <row r="239" spans="1:47" ht="13.5">
      <c r="A239" s="796"/>
      <c r="B239" s="796"/>
      <c r="C239" s="796"/>
      <c r="D239" s="796"/>
      <c r="E239" s="796"/>
      <c r="F239" s="796"/>
      <c r="G239" s="796"/>
      <c r="H239" s="796"/>
      <c r="I239" s="796"/>
      <c r="J239" s="796"/>
      <c r="K239" s="796"/>
      <c r="L239" s="796"/>
      <c r="M239" s="796"/>
      <c r="N239" s="796"/>
      <c r="O239" s="796"/>
      <c r="P239" s="796"/>
      <c r="Q239" s="796"/>
      <c r="R239" s="796"/>
      <c r="S239" s="796"/>
      <c r="T239" s="796"/>
      <c r="U239" s="796"/>
      <c r="V239" s="796"/>
      <c r="W239" s="796"/>
      <c r="X239" s="796"/>
      <c r="Y239" s="796"/>
      <c r="Z239" s="796"/>
      <c r="AA239" s="796"/>
      <c r="AB239" s="796"/>
      <c r="AC239" s="796"/>
      <c r="AD239" s="796"/>
      <c r="AE239" s="796"/>
      <c r="AF239" s="796"/>
      <c r="AG239" s="796"/>
      <c r="AH239" s="796"/>
      <c r="AI239" s="796"/>
      <c r="AJ239" s="796"/>
      <c r="AK239" s="796"/>
      <c r="AL239" s="796"/>
      <c r="AM239" s="796"/>
      <c r="AN239" s="796"/>
      <c r="AO239" s="796"/>
      <c r="AP239" s="796"/>
      <c r="AQ239" s="796"/>
      <c r="AR239" s="796"/>
      <c r="AS239" s="796"/>
      <c r="AT239" s="796"/>
      <c r="AU239" s="796"/>
    </row>
    <row r="240" spans="1:47" ht="13.5">
      <c r="A240" s="796"/>
      <c r="B240" s="796"/>
      <c r="C240" s="796"/>
      <c r="D240" s="796"/>
      <c r="E240" s="796"/>
      <c r="F240" s="796"/>
      <c r="G240" s="796"/>
      <c r="H240" s="796"/>
      <c r="I240" s="796"/>
      <c r="J240" s="796"/>
      <c r="K240" s="796"/>
      <c r="L240" s="796"/>
      <c r="M240" s="796"/>
      <c r="N240" s="796"/>
      <c r="O240" s="796"/>
      <c r="P240" s="796"/>
      <c r="Q240" s="796"/>
      <c r="R240" s="796"/>
      <c r="S240" s="796"/>
      <c r="T240" s="796"/>
      <c r="U240" s="796"/>
      <c r="V240" s="796"/>
      <c r="W240" s="796"/>
      <c r="X240" s="796"/>
      <c r="Y240" s="796"/>
      <c r="Z240" s="796"/>
      <c r="AA240" s="796"/>
      <c r="AB240" s="796"/>
      <c r="AC240" s="796"/>
      <c r="AD240" s="796"/>
      <c r="AE240" s="796"/>
      <c r="AF240" s="796"/>
      <c r="AG240" s="796"/>
      <c r="AH240" s="796"/>
      <c r="AI240" s="796"/>
      <c r="AJ240" s="796"/>
      <c r="AK240" s="796"/>
      <c r="AL240" s="796"/>
      <c r="AM240" s="796"/>
      <c r="AN240" s="796"/>
      <c r="AO240" s="796"/>
      <c r="AP240" s="796"/>
      <c r="AQ240" s="796"/>
      <c r="AR240" s="796"/>
      <c r="AS240" s="796"/>
      <c r="AT240" s="796"/>
      <c r="AU240" s="796"/>
    </row>
    <row r="241" spans="1:47" ht="13.5">
      <c r="A241" s="796"/>
      <c r="B241" s="796"/>
      <c r="C241" s="796"/>
      <c r="D241" s="796"/>
      <c r="E241" s="796"/>
      <c r="F241" s="796"/>
      <c r="G241" s="796"/>
      <c r="H241" s="796"/>
      <c r="I241" s="796"/>
      <c r="J241" s="796"/>
      <c r="K241" s="796"/>
      <c r="L241" s="796"/>
      <c r="M241" s="796"/>
      <c r="N241" s="796"/>
      <c r="O241" s="796"/>
      <c r="P241" s="796"/>
      <c r="Q241" s="796"/>
      <c r="R241" s="796"/>
      <c r="S241" s="796"/>
      <c r="T241" s="796"/>
      <c r="U241" s="796"/>
      <c r="V241" s="796"/>
      <c r="W241" s="796"/>
      <c r="X241" s="796"/>
      <c r="Y241" s="796"/>
      <c r="Z241" s="796"/>
      <c r="AA241" s="796"/>
      <c r="AB241" s="796"/>
      <c r="AC241" s="796"/>
      <c r="AD241" s="796"/>
      <c r="AE241" s="796"/>
      <c r="AF241" s="796"/>
      <c r="AG241" s="796"/>
      <c r="AH241" s="796"/>
      <c r="AI241" s="796"/>
      <c r="AJ241" s="796"/>
      <c r="AK241" s="796"/>
      <c r="AL241" s="796"/>
      <c r="AM241" s="796"/>
      <c r="AN241" s="796"/>
      <c r="AO241" s="796"/>
      <c r="AP241" s="796"/>
      <c r="AQ241" s="796"/>
      <c r="AR241" s="796"/>
      <c r="AS241" s="796"/>
      <c r="AT241" s="796"/>
      <c r="AU241" s="796"/>
    </row>
    <row r="242" spans="1:47" ht="13.5">
      <c r="A242" s="796"/>
      <c r="B242" s="796"/>
      <c r="C242" s="796"/>
      <c r="D242" s="796"/>
      <c r="E242" s="796"/>
      <c r="F242" s="796"/>
      <c r="G242" s="796"/>
      <c r="H242" s="796"/>
      <c r="I242" s="796"/>
      <c r="J242" s="796"/>
      <c r="K242" s="796"/>
      <c r="L242" s="796"/>
      <c r="M242" s="796"/>
      <c r="N242" s="796"/>
      <c r="O242" s="796"/>
      <c r="P242" s="796"/>
      <c r="Q242" s="796"/>
      <c r="R242" s="796"/>
      <c r="S242" s="796"/>
      <c r="T242" s="796"/>
      <c r="U242" s="796"/>
      <c r="V242" s="796"/>
      <c r="W242" s="796"/>
      <c r="X242" s="796"/>
      <c r="Y242" s="796"/>
      <c r="Z242" s="796"/>
      <c r="AA242" s="796"/>
      <c r="AB242" s="796"/>
      <c r="AC242" s="796"/>
      <c r="AD242" s="796"/>
      <c r="AE242" s="796"/>
      <c r="AF242" s="796"/>
      <c r="AG242" s="796"/>
      <c r="AH242" s="796"/>
      <c r="AI242" s="796"/>
      <c r="AJ242" s="796"/>
      <c r="AK242" s="796"/>
      <c r="AL242" s="796"/>
      <c r="AM242" s="796"/>
      <c r="AN242" s="796"/>
      <c r="AO242" s="796"/>
      <c r="AP242" s="796"/>
      <c r="AQ242" s="796"/>
      <c r="AR242" s="796"/>
      <c r="AS242" s="796"/>
      <c r="AT242" s="796"/>
      <c r="AU242" s="796"/>
    </row>
    <row r="243" spans="1:47" ht="13.5">
      <c r="A243" s="796"/>
      <c r="B243" s="796"/>
      <c r="C243" s="796"/>
      <c r="D243" s="796"/>
      <c r="E243" s="796"/>
      <c r="F243" s="796"/>
      <c r="G243" s="796"/>
      <c r="H243" s="796"/>
      <c r="I243" s="796"/>
      <c r="J243" s="796"/>
      <c r="K243" s="796"/>
      <c r="L243" s="796"/>
      <c r="M243" s="796"/>
      <c r="N243" s="796"/>
      <c r="O243" s="796"/>
      <c r="P243" s="796"/>
      <c r="Q243" s="796"/>
      <c r="R243" s="796"/>
      <c r="S243" s="796"/>
      <c r="T243" s="796"/>
      <c r="U243" s="796"/>
      <c r="V243" s="796"/>
      <c r="W243" s="796"/>
      <c r="X243" s="796"/>
      <c r="Y243" s="796"/>
      <c r="Z243" s="796"/>
      <c r="AA243" s="796"/>
      <c r="AB243" s="796"/>
      <c r="AC243" s="796"/>
      <c r="AD243" s="796"/>
      <c r="AE243" s="796"/>
      <c r="AF243" s="796"/>
      <c r="AG243" s="796"/>
      <c r="AH243" s="796"/>
      <c r="AI243" s="796"/>
      <c r="AJ243" s="796"/>
      <c r="AK243" s="796"/>
      <c r="AL243" s="796"/>
      <c r="AM243" s="796"/>
      <c r="AN243" s="796"/>
      <c r="AO243" s="796"/>
      <c r="AP243" s="796"/>
      <c r="AQ243" s="796"/>
      <c r="AR243" s="796"/>
      <c r="AS243" s="796"/>
      <c r="AT243" s="796"/>
      <c r="AU243" s="796"/>
    </row>
    <row r="244" spans="1:47" ht="13.5">
      <c r="A244" s="796"/>
      <c r="B244" s="796"/>
      <c r="C244" s="796"/>
      <c r="D244" s="796"/>
      <c r="E244" s="796"/>
      <c r="F244" s="796"/>
      <c r="G244" s="796"/>
      <c r="H244" s="796"/>
      <c r="I244" s="796"/>
      <c r="J244" s="796"/>
      <c r="K244" s="796"/>
      <c r="L244" s="796"/>
      <c r="M244" s="796"/>
      <c r="N244" s="796"/>
      <c r="O244" s="796"/>
      <c r="P244" s="796"/>
      <c r="Q244" s="796"/>
      <c r="R244" s="796"/>
      <c r="S244" s="796"/>
      <c r="T244" s="796"/>
      <c r="U244" s="796"/>
      <c r="V244" s="796"/>
      <c r="W244" s="796"/>
      <c r="X244" s="796"/>
      <c r="Y244" s="796"/>
      <c r="Z244" s="796"/>
      <c r="AA244" s="796"/>
      <c r="AB244" s="796"/>
      <c r="AC244" s="796"/>
      <c r="AD244" s="796"/>
      <c r="AE244" s="796"/>
      <c r="AF244" s="796"/>
      <c r="AG244" s="796"/>
      <c r="AH244" s="796"/>
      <c r="AI244" s="796"/>
      <c r="AJ244" s="796"/>
      <c r="AK244" s="796"/>
      <c r="AL244" s="796"/>
      <c r="AM244" s="796"/>
      <c r="AN244" s="796"/>
      <c r="AO244" s="796"/>
      <c r="AP244" s="796"/>
      <c r="AQ244" s="796"/>
      <c r="AR244" s="796"/>
      <c r="AS244" s="796"/>
      <c r="AT244" s="796"/>
      <c r="AU244" s="796"/>
    </row>
    <row r="245" spans="1:47" ht="13.5">
      <c r="A245" s="796"/>
      <c r="B245" s="796"/>
      <c r="C245" s="796"/>
      <c r="D245" s="796"/>
      <c r="E245" s="796"/>
      <c r="F245" s="796"/>
      <c r="G245" s="796"/>
      <c r="H245" s="796"/>
      <c r="I245" s="796"/>
      <c r="J245" s="796"/>
      <c r="K245" s="796"/>
      <c r="L245" s="796"/>
      <c r="M245" s="796"/>
      <c r="N245" s="796"/>
      <c r="O245" s="796"/>
      <c r="P245" s="796"/>
      <c r="Q245" s="796"/>
      <c r="R245" s="796"/>
      <c r="S245" s="796"/>
      <c r="T245" s="796"/>
      <c r="U245" s="796"/>
      <c r="V245" s="796"/>
      <c r="W245" s="796"/>
      <c r="X245" s="796"/>
      <c r="Y245" s="796"/>
      <c r="Z245" s="796"/>
      <c r="AA245" s="796"/>
      <c r="AB245" s="796"/>
      <c r="AC245" s="796"/>
      <c r="AD245" s="796"/>
      <c r="AE245" s="796"/>
      <c r="AF245" s="796"/>
      <c r="AG245" s="796"/>
      <c r="AH245" s="796"/>
      <c r="AI245" s="796"/>
      <c r="AJ245" s="796"/>
      <c r="AK245" s="796"/>
      <c r="AL245" s="796"/>
      <c r="AM245" s="796"/>
      <c r="AN245" s="796"/>
      <c r="AO245" s="796"/>
      <c r="AP245" s="796"/>
      <c r="AQ245" s="796"/>
      <c r="AR245" s="796"/>
      <c r="AS245" s="796"/>
      <c r="AT245" s="796"/>
      <c r="AU245" s="796"/>
    </row>
    <row r="246" spans="1:47" ht="13.5">
      <c r="A246" s="796"/>
      <c r="B246" s="796"/>
      <c r="C246" s="796"/>
      <c r="D246" s="796"/>
      <c r="E246" s="796"/>
      <c r="F246" s="796"/>
      <c r="G246" s="796"/>
      <c r="H246" s="796"/>
      <c r="I246" s="796"/>
      <c r="J246" s="796"/>
      <c r="K246" s="796"/>
      <c r="L246" s="796"/>
      <c r="M246" s="796"/>
      <c r="N246" s="796"/>
      <c r="O246" s="796"/>
      <c r="P246" s="796"/>
      <c r="Q246" s="796"/>
      <c r="R246" s="796"/>
      <c r="S246" s="796"/>
      <c r="T246" s="796"/>
      <c r="U246" s="796"/>
      <c r="V246" s="796"/>
      <c r="W246" s="796"/>
      <c r="X246" s="796"/>
      <c r="Y246" s="796"/>
      <c r="Z246" s="796"/>
      <c r="AA246" s="796"/>
      <c r="AB246" s="796"/>
      <c r="AC246" s="796"/>
      <c r="AD246" s="796"/>
      <c r="AE246" s="796"/>
      <c r="AF246" s="796"/>
      <c r="AG246" s="796"/>
      <c r="AH246" s="796"/>
      <c r="AI246" s="796"/>
      <c r="AJ246" s="796"/>
      <c r="AK246" s="796"/>
      <c r="AL246" s="796"/>
      <c r="AM246" s="796"/>
      <c r="AN246" s="796"/>
      <c r="AO246" s="796"/>
      <c r="AP246" s="796"/>
      <c r="AQ246" s="796"/>
      <c r="AR246" s="796"/>
      <c r="AS246" s="796"/>
      <c r="AT246" s="796"/>
      <c r="AU246" s="796"/>
    </row>
    <row r="247" spans="1:47" ht="13.5">
      <c r="A247" s="796"/>
      <c r="B247" s="796"/>
      <c r="C247" s="796"/>
      <c r="D247" s="796"/>
      <c r="E247" s="796"/>
      <c r="F247" s="796"/>
      <c r="G247" s="796"/>
      <c r="H247" s="796"/>
      <c r="I247" s="796"/>
      <c r="J247" s="796"/>
      <c r="K247" s="796"/>
      <c r="L247" s="796"/>
      <c r="M247" s="796"/>
      <c r="N247" s="796"/>
      <c r="O247" s="796"/>
      <c r="P247" s="796"/>
      <c r="Q247" s="796"/>
      <c r="R247" s="796"/>
      <c r="S247" s="796"/>
      <c r="T247" s="796"/>
      <c r="U247" s="796"/>
      <c r="V247" s="796"/>
      <c r="W247" s="796"/>
      <c r="X247" s="796"/>
      <c r="Y247" s="796"/>
      <c r="Z247" s="796"/>
      <c r="AA247" s="796"/>
      <c r="AB247" s="796"/>
      <c r="AC247" s="796"/>
      <c r="AD247" s="796"/>
      <c r="AE247" s="796"/>
      <c r="AF247" s="796"/>
      <c r="AG247" s="796"/>
      <c r="AH247" s="796"/>
      <c r="AI247" s="796"/>
      <c r="AJ247" s="796"/>
      <c r="AK247" s="796"/>
      <c r="AL247" s="796"/>
      <c r="AM247" s="796"/>
      <c r="AN247" s="796"/>
      <c r="AO247" s="796"/>
      <c r="AP247" s="796"/>
      <c r="AQ247" s="796"/>
      <c r="AR247" s="796"/>
      <c r="AS247" s="796"/>
      <c r="AT247" s="796"/>
      <c r="AU247" s="796"/>
    </row>
    <row r="248" spans="1:47" ht="13.5">
      <c r="A248" s="796"/>
      <c r="B248" s="796"/>
      <c r="C248" s="796"/>
      <c r="D248" s="796"/>
      <c r="E248" s="796"/>
      <c r="F248" s="796"/>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796"/>
      <c r="AE248" s="796"/>
      <c r="AF248" s="796"/>
      <c r="AG248" s="796"/>
      <c r="AH248" s="796"/>
      <c r="AI248" s="796"/>
      <c r="AJ248" s="796"/>
      <c r="AK248" s="796"/>
      <c r="AL248" s="796"/>
      <c r="AM248" s="796"/>
      <c r="AN248" s="796"/>
      <c r="AO248" s="796"/>
      <c r="AP248" s="796"/>
      <c r="AQ248" s="796"/>
      <c r="AR248" s="796"/>
      <c r="AS248" s="796"/>
      <c r="AT248" s="796"/>
      <c r="AU248" s="796"/>
    </row>
    <row r="249" spans="1:47" ht="13.5">
      <c r="A249" s="796"/>
      <c r="B249" s="796"/>
      <c r="C249" s="796"/>
      <c r="D249" s="796"/>
      <c r="E249" s="796"/>
      <c r="F249" s="796"/>
      <c r="G249" s="796"/>
      <c r="H249" s="796"/>
      <c r="I249" s="796"/>
      <c r="J249" s="796"/>
      <c r="K249" s="796"/>
      <c r="L249" s="796"/>
      <c r="M249" s="796"/>
      <c r="N249" s="796"/>
      <c r="O249" s="796"/>
      <c r="P249" s="796"/>
      <c r="Q249" s="796"/>
      <c r="R249" s="796"/>
      <c r="S249" s="796"/>
      <c r="T249" s="796"/>
      <c r="U249" s="796"/>
      <c r="V249" s="796"/>
      <c r="W249" s="796"/>
      <c r="X249" s="796"/>
      <c r="Y249" s="796"/>
      <c r="Z249" s="796"/>
      <c r="AA249" s="796"/>
      <c r="AB249" s="796"/>
      <c r="AC249" s="796"/>
      <c r="AD249" s="796"/>
      <c r="AE249" s="796"/>
      <c r="AF249" s="796"/>
      <c r="AG249" s="796"/>
      <c r="AH249" s="796"/>
      <c r="AI249" s="796"/>
      <c r="AJ249" s="796"/>
      <c r="AK249" s="796"/>
      <c r="AL249" s="796"/>
      <c r="AM249" s="796"/>
      <c r="AN249" s="796"/>
      <c r="AO249" s="796"/>
      <c r="AP249" s="796"/>
      <c r="AQ249" s="796"/>
      <c r="AR249" s="796"/>
      <c r="AS249" s="796"/>
      <c r="AT249" s="796"/>
      <c r="AU249" s="796"/>
    </row>
    <row r="250" spans="1:47" ht="13.5">
      <c r="A250" s="796"/>
      <c r="B250" s="796"/>
      <c r="C250" s="796"/>
      <c r="D250" s="796"/>
      <c r="E250" s="796"/>
      <c r="F250" s="796"/>
      <c r="G250" s="796"/>
      <c r="H250" s="796"/>
      <c r="I250" s="796"/>
      <c r="J250" s="796"/>
      <c r="K250" s="796"/>
      <c r="L250" s="796"/>
      <c r="M250" s="796"/>
      <c r="N250" s="796"/>
      <c r="O250" s="796"/>
      <c r="P250" s="796"/>
      <c r="Q250" s="796"/>
      <c r="R250" s="796"/>
      <c r="S250" s="796"/>
      <c r="T250" s="796"/>
      <c r="U250" s="796"/>
      <c r="V250" s="796"/>
      <c r="W250" s="796"/>
      <c r="X250" s="796"/>
      <c r="Y250" s="796"/>
      <c r="Z250" s="796"/>
      <c r="AA250" s="796"/>
      <c r="AB250" s="796"/>
      <c r="AC250" s="796"/>
      <c r="AD250" s="796"/>
      <c r="AE250" s="796"/>
      <c r="AF250" s="796"/>
      <c r="AG250" s="796"/>
      <c r="AH250" s="796"/>
      <c r="AI250" s="796"/>
      <c r="AJ250" s="796"/>
      <c r="AK250" s="796"/>
      <c r="AL250" s="796"/>
      <c r="AM250" s="796"/>
      <c r="AN250" s="796"/>
      <c r="AO250" s="796"/>
      <c r="AP250" s="796"/>
      <c r="AQ250" s="796"/>
      <c r="AR250" s="796"/>
      <c r="AS250" s="796"/>
      <c r="AT250" s="796"/>
      <c r="AU250" s="796"/>
    </row>
    <row r="251" spans="1:47" ht="13.5">
      <c r="A251" s="796"/>
      <c r="B251" s="796"/>
      <c r="C251" s="796"/>
      <c r="D251" s="796"/>
      <c r="E251" s="796"/>
      <c r="F251" s="796"/>
      <c r="G251" s="796"/>
      <c r="H251" s="796"/>
      <c r="I251" s="796"/>
      <c r="J251" s="796"/>
      <c r="K251" s="796"/>
      <c r="L251" s="796"/>
      <c r="M251" s="796"/>
      <c r="N251" s="796"/>
      <c r="O251" s="796"/>
      <c r="P251" s="796"/>
      <c r="Q251" s="796"/>
      <c r="R251" s="796"/>
      <c r="S251" s="796"/>
      <c r="T251" s="796"/>
      <c r="U251" s="796"/>
      <c r="V251" s="796"/>
      <c r="W251" s="796"/>
      <c r="X251" s="796"/>
      <c r="Y251" s="796"/>
      <c r="Z251" s="796"/>
      <c r="AA251" s="796"/>
      <c r="AB251" s="796"/>
      <c r="AC251" s="796"/>
      <c r="AD251" s="796"/>
      <c r="AE251" s="796"/>
      <c r="AF251" s="796"/>
      <c r="AG251" s="796"/>
      <c r="AH251" s="796"/>
      <c r="AI251" s="796"/>
      <c r="AJ251" s="796"/>
      <c r="AK251" s="796"/>
      <c r="AL251" s="796"/>
      <c r="AM251" s="796"/>
      <c r="AN251" s="796"/>
      <c r="AO251" s="796"/>
      <c r="AP251" s="796"/>
      <c r="AQ251" s="796"/>
      <c r="AR251" s="796"/>
      <c r="AS251" s="796"/>
      <c r="AT251" s="796"/>
      <c r="AU251" s="796"/>
    </row>
    <row r="252" spans="1:47" ht="13.5">
      <c r="A252" s="796"/>
      <c r="B252" s="796"/>
      <c r="C252" s="796"/>
      <c r="D252" s="796"/>
      <c r="E252" s="796"/>
      <c r="F252" s="796"/>
      <c r="G252" s="796"/>
      <c r="H252" s="796"/>
      <c r="I252" s="796"/>
      <c r="J252" s="796"/>
      <c r="K252" s="796"/>
      <c r="L252" s="796"/>
      <c r="M252" s="796"/>
      <c r="N252" s="796"/>
      <c r="O252" s="796"/>
      <c r="P252" s="796"/>
      <c r="Q252" s="796"/>
      <c r="R252" s="796"/>
      <c r="S252" s="796"/>
      <c r="T252" s="796"/>
      <c r="U252" s="796"/>
      <c r="V252" s="796"/>
      <c r="W252" s="796"/>
      <c r="X252" s="796"/>
      <c r="Y252" s="796"/>
      <c r="Z252" s="796"/>
      <c r="AA252" s="796"/>
      <c r="AB252" s="796"/>
      <c r="AC252" s="796"/>
      <c r="AD252" s="796"/>
      <c r="AE252" s="796"/>
      <c r="AF252" s="796"/>
      <c r="AG252" s="796"/>
      <c r="AH252" s="796"/>
      <c r="AI252" s="796"/>
      <c r="AJ252" s="796"/>
      <c r="AK252" s="796"/>
      <c r="AL252" s="796"/>
      <c r="AM252" s="796"/>
      <c r="AN252" s="796"/>
      <c r="AO252" s="796"/>
      <c r="AP252" s="796"/>
      <c r="AQ252" s="796"/>
      <c r="AR252" s="796"/>
      <c r="AS252" s="796"/>
      <c r="AT252" s="796"/>
      <c r="AU252" s="796"/>
    </row>
    <row r="253" spans="1:47" ht="13.5">
      <c r="A253" s="796"/>
      <c r="B253" s="796"/>
      <c r="C253" s="796"/>
      <c r="D253" s="796"/>
      <c r="E253" s="796"/>
      <c r="F253" s="796"/>
      <c r="G253" s="796"/>
      <c r="H253" s="796"/>
      <c r="I253" s="796"/>
      <c r="J253" s="796"/>
      <c r="K253" s="796"/>
      <c r="L253" s="796"/>
      <c r="M253" s="796"/>
      <c r="N253" s="796"/>
      <c r="O253" s="796"/>
      <c r="P253" s="796"/>
      <c r="Q253" s="796"/>
      <c r="R253" s="796"/>
      <c r="S253" s="796"/>
      <c r="T253" s="796"/>
      <c r="U253" s="796"/>
      <c r="V253" s="796"/>
      <c r="W253" s="796"/>
      <c r="X253" s="796"/>
      <c r="Y253" s="796"/>
      <c r="Z253" s="796"/>
      <c r="AA253" s="796"/>
      <c r="AB253" s="796"/>
      <c r="AC253" s="796"/>
      <c r="AD253" s="796"/>
      <c r="AE253" s="796"/>
      <c r="AF253" s="796"/>
      <c r="AG253" s="796"/>
      <c r="AH253" s="796"/>
      <c r="AI253" s="796"/>
      <c r="AJ253" s="796"/>
      <c r="AK253" s="796"/>
      <c r="AL253" s="796"/>
      <c r="AM253" s="796"/>
      <c r="AN253" s="796"/>
      <c r="AO253" s="796"/>
      <c r="AP253" s="796"/>
      <c r="AQ253" s="796"/>
      <c r="AR253" s="796"/>
      <c r="AS253" s="796"/>
      <c r="AT253" s="796"/>
      <c r="AU253" s="796"/>
    </row>
    <row r="254" spans="1:47" ht="13.5">
      <c r="A254" s="796"/>
      <c r="B254" s="796"/>
      <c r="C254" s="796"/>
      <c r="D254" s="796"/>
      <c r="E254" s="796"/>
      <c r="F254" s="796"/>
      <c r="G254" s="796"/>
      <c r="H254" s="796"/>
      <c r="I254" s="796"/>
      <c r="J254" s="796"/>
      <c r="K254" s="796"/>
      <c r="L254" s="796"/>
      <c r="M254" s="796"/>
      <c r="N254" s="796"/>
      <c r="O254" s="796"/>
      <c r="P254" s="796"/>
      <c r="Q254" s="796"/>
      <c r="R254" s="796"/>
      <c r="S254" s="796"/>
      <c r="T254" s="796"/>
      <c r="U254" s="796"/>
      <c r="V254" s="796"/>
      <c r="W254" s="796"/>
      <c r="X254" s="796"/>
      <c r="Y254" s="796"/>
      <c r="Z254" s="796"/>
      <c r="AA254" s="796"/>
      <c r="AB254" s="796"/>
      <c r="AC254" s="796"/>
      <c r="AD254" s="796"/>
      <c r="AE254" s="796"/>
      <c r="AF254" s="796"/>
      <c r="AG254" s="796"/>
      <c r="AH254" s="796"/>
      <c r="AI254" s="796"/>
      <c r="AJ254" s="796"/>
      <c r="AK254" s="796"/>
      <c r="AL254" s="796"/>
      <c r="AM254" s="796"/>
      <c r="AN254" s="796"/>
      <c r="AO254" s="796"/>
      <c r="AP254" s="796"/>
      <c r="AQ254" s="796"/>
      <c r="AR254" s="796"/>
      <c r="AS254" s="796"/>
      <c r="AT254" s="796"/>
      <c r="AU254" s="796"/>
    </row>
    <row r="255" spans="1:47" ht="13.5">
      <c r="A255" s="796"/>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row>
    <row r="256" spans="1:47" ht="13.5">
      <c r="A256" s="796"/>
      <c r="B256" s="796"/>
      <c r="C256" s="796"/>
      <c r="D256" s="796"/>
      <c r="E256" s="796"/>
      <c r="F256" s="796"/>
      <c r="G256" s="796"/>
      <c r="H256" s="796"/>
      <c r="I256" s="796"/>
      <c r="J256" s="796"/>
      <c r="K256" s="796"/>
      <c r="L256" s="796"/>
      <c r="M256" s="796"/>
      <c r="N256" s="796"/>
      <c r="O256" s="796"/>
      <c r="P256" s="796"/>
      <c r="Q256" s="796"/>
      <c r="R256" s="796"/>
      <c r="S256" s="796"/>
      <c r="T256" s="796"/>
      <c r="U256" s="796"/>
      <c r="V256" s="796"/>
      <c r="W256" s="796"/>
      <c r="X256" s="796"/>
      <c r="Y256" s="796"/>
      <c r="Z256" s="796"/>
      <c r="AA256" s="796"/>
      <c r="AB256" s="796"/>
      <c r="AC256" s="796"/>
      <c r="AD256" s="796"/>
      <c r="AE256" s="796"/>
      <c r="AF256" s="796"/>
      <c r="AG256" s="796"/>
      <c r="AH256" s="796"/>
      <c r="AI256" s="796"/>
      <c r="AJ256" s="796"/>
      <c r="AK256" s="796"/>
      <c r="AL256" s="796"/>
      <c r="AM256" s="796"/>
      <c r="AN256" s="796"/>
      <c r="AO256" s="796"/>
      <c r="AP256" s="796"/>
      <c r="AQ256" s="796"/>
      <c r="AR256" s="796"/>
      <c r="AS256" s="796"/>
      <c r="AT256" s="796"/>
      <c r="AU256" s="796"/>
    </row>
    <row r="257" spans="1:47" ht="13.5">
      <c r="A257" s="796"/>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row>
    <row r="258" spans="1:47" ht="13.5">
      <c r="A258" s="796"/>
      <c r="B258" s="796"/>
      <c r="C258" s="796"/>
      <c r="D258" s="796"/>
      <c r="E258" s="796"/>
      <c r="F258" s="796"/>
      <c r="G258" s="796"/>
      <c r="H258" s="796"/>
      <c r="I258" s="796"/>
      <c r="J258" s="796"/>
      <c r="K258" s="796"/>
      <c r="L258" s="796"/>
      <c r="M258" s="796"/>
      <c r="N258" s="796"/>
      <c r="O258" s="796"/>
      <c r="P258" s="796"/>
      <c r="Q258" s="796"/>
      <c r="R258" s="796"/>
      <c r="S258" s="796"/>
      <c r="T258" s="796"/>
      <c r="U258" s="796"/>
      <c r="V258" s="796"/>
      <c r="W258" s="796"/>
      <c r="X258" s="796"/>
      <c r="Y258" s="796"/>
      <c r="Z258" s="796"/>
      <c r="AA258" s="796"/>
      <c r="AB258" s="796"/>
      <c r="AC258" s="796"/>
      <c r="AD258" s="796"/>
      <c r="AE258" s="796"/>
      <c r="AF258" s="796"/>
      <c r="AG258" s="796"/>
      <c r="AH258" s="796"/>
      <c r="AI258" s="796"/>
      <c r="AJ258" s="796"/>
      <c r="AK258" s="796"/>
      <c r="AL258" s="796"/>
      <c r="AM258" s="796"/>
      <c r="AN258" s="796"/>
      <c r="AO258" s="796"/>
      <c r="AP258" s="796"/>
      <c r="AQ258" s="796"/>
      <c r="AR258" s="796"/>
      <c r="AS258" s="796"/>
      <c r="AT258" s="796"/>
      <c r="AU258" s="796"/>
    </row>
    <row r="259" spans="1:47" ht="13.5">
      <c r="A259" s="796"/>
      <c r="B259" s="796"/>
      <c r="C259" s="796"/>
      <c r="D259" s="796"/>
      <c r="E259" s="796"/>
      <c r="F259" s="796"/>
      <c r="G259" s="796"/>
      <c r="H259" s="796"/>
      <c r="I259" s="796"/>
      <c r="J259" s="796"/>
      <c r="K259" s="796"/>
      <c r="L259" s="796"/>
      <c r="M259" s="796"/>
      <c r="N259" s="796"/>
      <c r="O259" s="796"/>
      <c r="P259" s="796"/>
      <c r="Q259" s="796"/>
      <c r="R259" s="796"/>
      <c r="S259" s="796"/>
      <c r="T259" s="796"/>
      <c r="U259" s="796"/>
      <c r="V259" s="796"/>
      <c r="W259" s="796"/>
      <c r="X259" s="796"/>
      <c r="Y259" s="796"/>
      <c r="Z259" s="796"/>
      <c r="AA259" s="796"/>
      <c r="AB259" s="796"/>
      <c r="AC259" s="796"/>
      <c r="AD259" s="796"/>
      <c r="AE259" s="796"/>
      <c r="AF259" s="796"/>
      <c r="AG259" s="796"/>
      <c r="AH259" s="796"/>
      <c r="AI259" s="796"/>
      <c r="AJ259" s="796"/>
      <c r="AK259" s="796"/>
      <c r="AL259" s="796"/>
      <c r="AM259" s="796"/>
      <c r="AN259" s="796"/>
      <c r="AO259" s="796"/>
      <c r="AP259" s="796"/>
      <c r="AQ259" s="796"/>
      <c r="AR259" s="796"/>
      <c r="AS259" s="796"/>
      <c r="AT259" s="796"/>
      <c r="AU259" s="796"/>
    </row>
    <row r="260" spans="1:47" ht="13.5">
      <c r="A260" s="796"/>
      <c r="B260" s="796"/>
      <c r="C260" s="796"/>
      <c r="D260" s="796"/>
      <c r="E260" s="796"/>
      <c r="F260" s="796"/>
      <c r="G260" s="796"/>
      <c r="H260" s="796"/>
      <c r="I260" s="796"/>
      <c r="J260" s="796"/>
      <c r="K260" s="796"/>
      <c r="L260" s="796"/>
      <c r="M260" s="796"/>
      <c r="N260" s="796"/>
      <c r="O260" s="796"/>
      <c r="P260" s="796"/>
      <c r="Q260" s="796"/>
      <c r="R260" s="796"/>
      <c r="S260" s="796"/>
      <c r="T260" s="796"/>
      <c r="U260" s="796"/>
      <c r="V260" s="796"/>
      <c r="W260" s="796"/>
      <c r="X260" s="796"/>
      <c r="Y260" s="796"/>
      <c r="Z260" s="796"/>
      <c r="AA260" s="796"/>
      <c r="AB260" s="796"/>
      <c r="AC260" s="796"/>
      <c r="AD260" s="796"/>
      <c r="AE260" s="796"/>
      <c r="AF260" s="796"/>
      <c r="AG260" s="796"/>
      <c r="AH260" s="796"/>
      <c r="AI260" s="796"/>
      <c r="AJ260" s="796"/>
      <c r="AK260" s="796"/>
      <c r="AL260" s="796"/>
      <c r="AM260" s="796"/>
      <c r="AN260" s="796"/>
      <c r="AO260" s="796"/>
      <c r="AP260" s="796"/>
      <c r="AQ260" s="796"/>
      <c r="AR260" s="796"/>
      <c r="AS260" s="796"/>
      <c r="AT260" s="796"/>
      <c r="AU260" s="796"/>
    </row>
    <row r="261" spans="1:47" ht="13.5">
      <c r="A261" s="796"/>
      <c r="B261" s="796"/>
      <c r="C261" s="796"/>
      <c r="D261" s="796"/>
      <c r="E261" s="796"/>
      <c r="F261" s="796"/>
      <c r="G261" s="796"/>
      <c r="H261" s="796"/>
      <c r="I261" s="796"/>
      <c r="J261" s="796"/>
      <c r="K261" s="796"/>
      <c r="L261" s="796"/>
      <c r="M261" s="796"/>
      <c r="N261" s="796"/>
      <c r="O261" s="796"/>
      <c r="P261" s="796"/>
      <c r="Q261" s="796"/>
      <c r="R261" s="796"/>
      <c r="S261" s="796"/>
      <c r="T261" s="796"/>
      <c r="U261" s="796"/>
      <c r="V261" s="796"/>
      <c r="W261" s="796"/>
      <c r="X261" s="796"/>
      <c r="Y261" s="796"/>
      <c r="Z261" s="796"/>
      <c r="AA261" s="796"/>
      <c r="AB261" s="796"/>
      <c r="AC261" s="796"/>
      <c r="AD261" s="796"/>
      <c r="AE261" s="796"/>
      <c r="AF261" s="796"/>
      <c r="AG261" s="796"/>
      <c r="AH261" s="796"/>
      <c r="AI261" s="796"/>
      <c r="AJ261" s="796"/>
      <c r="AK261" s="796"/>
      <c r="AL261" s="796"/>
      <c r="AM261" s="796"/>
      <c r="AN261" s="796"/>
      <c r="AO261" s="796"/>
      <c r="AP261" s="796"/>
      <c r="AQ261" s="796"/>
      <c r="AR261" s="796"/>
      <c r="AS261" s="796"/>
      <c r="AT261" s="796"/>
      <c r="AU261" s="796"/>
    </row>
    <row r="262" spans="1:47" ht="13.5">
      <c r="A262" s="796"/>
      <c r="B262" s="796"/>
      <c r="C262" s="796"/>
      <c r="D262" s="796"/>
      <c r="E262" s="796"/>
      <c r="F262" s="796"/>
      <c r="G262" s="796"/>
      <c r="H262" s="796"/>
      <c r="I262" s="796"/>
      <c r="J262" s="796"/>
      <c r="K262" s="796"/>
      <c r="L262" s="796"/>
      <c r="M262" s="796"/>
      <c r="N262" s="796"/>
      <c r="O262" s="796"/>
      <c r="P262" s="796"/>
      <c r="Q262" s="796"/>
      <c r="R262" s="796"/>
      <c r="S262" s="796"/>
      <c r="T262" s="796"/>
      <c r="U262" s="796"/>
      <c r="V262" s="796"/>
      <c r="W262" s="796"/>
      <c r="X262" s="796"/>
      <c r="Y262" s="796"/>
      <c r="Z262" s="796"/>
      <c r="AA262" s="796"/>
      <c r="AB262" s="796"/>
      <c r="AC262" s="796"/>
      <c r="AD262" s="796"/>
      <c r="AE262" s="796"/>
      <c r="AF262" s="796"/>
      <c r="AG262" s="796"/>
      <c r="AH262" s="796"/>
      <c r="AI262" s="796"/>
      <c r="AJ262" s="796"/>
      <c r="AK262" s="796"/>
      <c r="AL262" s="796"/>
      <c r="AM262" s="796"/>
      <c r="AN262" s="796"/>
      <c r="AO262" s="796"/>
      <c r="AP262" s="796"/>
      <c r="AQ262" s="796"/>
      <c r="AR262" s="796"/>
      <c r="AS262" s="796"/>
      <c r="AT262" s="796"/>
      <c r="AU262" s="796"/>
    </row>
    <row r="263" spans="1:47" ht="13.5">
      <c r="A263" s="796"/>
      <c r="B263" s="796"/>
      <c r="C263" s="796"/>
      <c r="D263" s="796"/>
      <c r="E263" s="796"/>
      <c r="F263" s="796"/>
      <c r="G263" s="796"/>
      <c r="H263" s="796"/>
      <c r="I263" s="796"/>
      <c r="J263" s="796"/>
      <c r="K263" s="796"/>
      <c r="L263" s="796"/>
      <c r="M263" s="796"/>
      <c r="N263" s="796"/>
      <c r="O263" s="796"/>
      <c r="P263" s="796"/>
      <c r="Q263" s="796"/>
      <c r="R263" s="796"/>
      <c r="S263" s="796"/>
      <c r="T263" s="796"/>
      <c r="U263" s="796"/>
      <c r="V263" s="796"/>
      <c r="W263" s="796"/>
      <c r="X263" s="796"/>
      <c r="Y263" s="796"/>
      <c r="Z263" s="796"/>
      <c r="AA263" s="796"/>
      <c r="AB263" s="796"/>
      <c r="AC263" s="796"/>
      <c r="AD263" s="796"/>
      <c r="AE263" s="796"/>
      <c r="AF263" s="796"/>
      <c r="AG263" s="796"/>
      <c r="AH263" s="796"/>
      <c r="AI263" s="796"/>
      <c r="AJ263" s="796"/>
      <c r="AK263" s="796"/>
      <c r="AL263" s="796"/>
      <c r="AM263" s="796"/>
      <c r="AN263" s="796"/>
      <c r="AO263" s="796"/>
      <c r="AP263" s="796"/>
      <c r="AQ263" s="796"/>
      <c r="AR263" s="796"/>
      <c r="AS263" s="796"/>
      <c r="AT263" s="796"/>
      <c r="AU263" s="796"/>
    </row>
    <row r="264" spans="1:47" ht="13.5">
      <c r="A264" s="796"/>
      <c r="B264" s="796"/>
      <c r="C264" s="796"/>
      <c r="D264" s="796"/>
      <c r="E264" s="796"/>
      <c r="F264" s="796"/>
      <c r="G264" s="796"/>
      <c r="H264" s="796"/>
      <c r="I264" s="796"/>
      <c r="J264" s="796"/>
      <c r="K264" s="796"/>
      <c r="L264" s="796"/>
      <c r="M264" s="796"/>
      <c r="N264" s="796"/>
      <c r="O264" s="796"/>
      <c r="P264" s="796"/>
      <c r="Q264" s="796"/>
      <c r="R264" s="796"/>
      <c r="S264" s="796"/>
      <c r="T264" s="796"/>
      <c r="U264" s="796"/>
      <c r="V264" s="796"/>
      <c r="W264" s="796"/>
      <c r="X264" s="796"/>
      <c r="Y264" s="796"/>
      <c r="Z264" s="796"/>
      <c r="AA264" s="796"/>
      <c r="AB264" s="796"/>
      <c r="AC264" s="796"/>
      <c r="AD264" s="796"/>
      <c r="AE264" s="796"/>
      <c r="AF264" s="796"/>
      <c r="AG264" s="796"/>
      <c r="AH264" s="796"/>
      <c r="AI264" s="796"/>
      <c r="AJ264" s="796"/>
      <c r="AK264" s="796"/>
      <c r="AL264" s="796"/>
      <c r="AM264" s="796"/>
      <c r="AN264" s="796"/>
      <c r="AO264" s="796"/>
      <c r="AP264" s="796"/>
      <c r="AQ264" s="796"/>
      <c r="AR264" s="796"/>
      <c r="AS264" s="796"/>
      <c r="AT264" s="796"/>
      <c r="AU264" s="796"/>
    </row>
    <row r="265" spans="1:47" ht="13.5">
      <c r="A265" s="796"/>
      <c r="B265" s="796"/>
      <c r="C265" s="796"/>
      <c r="D265" s="796"/>
      <c r="E265" s="796"/>
      <c r="F265" s="796"/>
      <c r="G265" s="796"/>
      <c r="H265" s="796"/>
      <c r="I265" s="796"/>
      <c r="J265" s="796"/>
      <c r="K265" s="796"/>
      <c r="L265" s="796"/>
      <c r="M265" s="796"/>
      <c r="N265" s="796"/>
      <c r="O265" s="796"/>
      <c r="P265" s="796"/>
      <c r="Q265" s="796"/>
      <c r="R265" s="796"/>
      <c r="S265" s="796"/>
      <c r="T265" s="796"/>
      <c r="U265" s="796"/>
      <c r="V265" s="796"/>
      <c r="W265" s="796"/>
      <c r="X265" s="796"/>
      <c r="Y265" s="796"/>
      <c r="Z265" s="796"/>
      <c r="AA265" s="796"/>
      <c r="AB265" s="796"/>
      <c r="AC265" s="796"/>
      <c r="AD265" s="796"/>
      <c r="AE265" s="796"/>
      <c r="AF265" s="796"/>
      <c r="AG265" s="796"/>
      <c r="AH265" s="796"/>
      <c r="AI265" s="796"/>
      <c r="AJ265" s="796"/>
      <c r="AK265" s="796"/>
      <c r="AL265" s="796"/>
      <c r="AM265" s="796"/>
      <c r="AN265" s="796"/>
      <c r="AO265" s="796"/>
      <c r="AP265" s="796"/>
      <c r="AQ265" s="796"/>
      <c r="AR265" s="796"/>
      <c r="AS265" s="796"/>
      <c r="AT265" s="796"/>
      <c r="AU265" s="796"/>
    </row>
    <row r="266" spans="1:47" ht="13.5">
      <c r="A266" s="796"/>
      <c r="B266" s="796"/>
      <c r="C266" s="796"/>
      <c r="D266" s="796"/>
      <c r="E266" s="796"/>
      <c r="F266" s="796"/>
      <c r="G266" s="796"/>
      <c r="H266" s="796"/>
      <c r="I266" s="796"/>
      <c r="J266" s="796"/>
      <c r="K266" s="796"/>
      <c r="L266" s="796"/>
      <c r="M266" s="796"/>
      <c r="N266" s="796"/>
      <c r="O266" s="796"/>
      <c r="P266" s="796"/>
      <c r="Q266" s="796"/>
      <c r="R266" s="796"/>
      <c r="S266" s="796"/>
      <c r="T266" s="796"/>
      <c r="U266" s="796"/>
      <c r="V266" s="796"/>
      <c r="W266" s="796"/>
      <c r="X266" s="796"/>
      <c r="Y266" s="796"/>
      <c r="Z266" s="796"/>
      <c r="AA266" s="796"/>
      <c r="AB266" s="796"/>
      <c r="AC266" s="796"/>
      <c r="AD266" s="796"/>
      <c r="AE266" s="796"/>
      <c r="AF266" s="796"/>
      <c r="AG266" s="796"/>
      <c r="AH266" s="796"/>
      <c r="AI266" s="796"/>
      <c r="AJ266" s="796"/>
      <c r="AK266" s="796"/>
      <c r="AL266" s="796"/>
      <c r="AM266" s="796"/>
      <c r="AN266" s="796"/>
      <c r="AO266" s="796"/>
      <c r="AP266" s="796"/>
      <c r="AQ266" s="796"/>
      <c r="AR266" s="796"/>
      <c r="AS266" s="796"/>
      <c r="AT266" s="796"/>
      <c r="AU266" s="796"/>
    </row>
    <row r="267" spans="1:47" ht="13.5">
      <c r="A267" s="796"/>
      <c r="B267" s="796"/>
      <c r="C267" s="796"/>
      <c r="D267" s="796"/>
      <c r="E267" s="796"/>
      <c r="F267" s="796"/>
      <c r="G267" s="796"/>
      <c r="H267" s="796"/>
      <c r="I267" s="796"/>
      <c r="J267" s="796"/>
      <c r="K267" s="796"/>
      <c r="L267" s="796"/>
      <c r="M267" s="796"/>
      <c r="N267" s="796"/>
      <c r="O267" s="796"/>
      <c r="P267" s="796"/>
      <c r="Q267" s="796"/>
      <c r="R267" s="796"/>
      <c r="S267" s="796"/>
      <c r="T267" s="796"/>
      <c r="U267" s="796"/>
      <c r="V267" s="796"/>
      <c r="W267" s="796"/>
      <c r="X267" s="796"/>
      <c r="Y267" s="796"/>
      <c r="Z267" s="796"/>
      <c r="AA267" s="796"/>
      <c r="AB267" s="796"/>
      <c r="AC267" s="796"/>
      <c r="AD267" s="796"/>
      <c r="AE267" s="796"/>
      <c r="AF267" s="796"/>
      <c r="AG267" s="796"/>
      <c r="AH267" s="796"/>
      <c r="AI267" s="796"/>
      <c r="AJ267" s="796"/>
      <c r="AK267" s="796"/>
      <c r="AL267" s="796"/>
      <c r="AM267" s="796"/>
      <c r="AN267" s="796"/>
      <c r="AO267" s="796"/>
      <c r="AP267" s="796"/>
      <c r="AQ267" s="796"/>
      <c r="AR267" s="796"/>
      <c r="AS267" s="796"/>
      <c r="AT267" s="796"/>
      <c r="AU267" s="796"/>
    </row>
    <row r="268" spans="1:47" ht="13.5">
      <c r="A268" s="796"/>
      <c r="B268" s="796"/>
      <c r="C268" s="796"/>
      <c r="D268" s="796"/>
      <c r="E268" s="796"/>
      <c r="F268" s="796"/>
      <c r="G268" s="796"/>
      <c r="H268" s="796"/>
      <c r="I268" s="796"/>
      <c r="J268" s="796"/>
      <c r="K268" s="796"/>
      <c r="L268" s="796"/>
      <c r="M268" s="796"/>
      <c r="N268" s="796"/>
      <c r="O268" s="796"/>
      <c r="P268" s="796"/>
      <c r="Q268" s="796"/>
      <c r="R268" s="796"/>
      <c r="S268" s="796"/>
      <c r="T268" s="796"/>
      <c r="U268" s="796"/>
      <c r="V268" s="796"/>
      <c r="W268" s="796"/>
      <c r="X268" s="796"/>
      <c r="Y268" s="796"/>
      <c r="Z268" s="796"/>
      <c r="AA268" s="796"/>
      <c r="AB268" s="796"/>
      <c r="AC268" s="796"/>
      <c r="AD268" s="796"/>
      <c r="AE268" s="796"/>
      <c r="AF268" s="796"/>
      <c r="AG268" s="796"/>
      <c r="AH268" s="796"/>
      <c r="AI268" s="796"/>
      <c r="AJ268" s="796"/>
      <c r="AK268" s="796"/>
      <c r="AL268" s="796"/>
      <c r="AM268" s="796"/>
      <c r="AN268" s="796"/>
      <c r="AO268" s="796"/>
      <c r="AP268" s="796"/>
      <c r="AQ268" s="796"/>
      <c r="AR268" s="796"/>
      <c r="AS268" s="796"/>
      <c r="AT268" s="796"/>
      <c r="AU268" s="796"/>
    </row>
    <row r="269" spans="1:47" ht="13.5">
      <c r="A269" s="796"/>
      <c r="B269" s="796"/>
      <c r="C269" s="796"/>
      <c r="D269" s="796"/>
      <c r="E269" s="796"/>
      <c r="F269" s="796"/>
      <c r="G269" s="796"/>
      <c r="H269" s="796"/>
      <c r="I269" s="796"/>
      <c r="J269" s="796"/>
      <c r="K269" s="796"/>
      <c r="L269" s="796"/>
      <c r="M269" s="796"/>
      <c r="N269" s="796"/>
      <c r="O269" s="796"/>
      <c r="P269" s="796"/>
      <c r="Q269" s="796"/>
      <c r="R269" s="796"/>
      <c r="S269" s="796"/>
      <c r="T269" s="796"/>
      <c r="U269" s="796"/>
      <c r="V269" s="796"/>
      <c r="W269" s="796"/>
      <c r="X269" s="796"/>
      <c r="Y269" s="796"/>
      <c r="Z269" s="796"/>
      <c r="AA269" s="796"/>
      <c r="AB269" s="796"/>
      <c r="AC269" s="796"/>
      <c r="AD269" s="796"/>
      <c r="AE269" s="796"/>
      <c r="AF269" s="796"/>
      <c r="AG269" s="796"/>
      <c r="AH269" s="796"/>
      <c r="AI269" s="796"/>
      <c r="AJ269" s="796"/>
      <c r="AK269" s="796"/>
      <c r="AL269" s="796"/>
      <c r="AM269" s="796"/>
      <c r="AN269" s="796"/>
      <c r="AO269" s="796"/>
      <c r="AP269" s="796"/>
      <c r="AQ269" s="796"/>
      <c r="AR269" s="796"/>
      <c r="AS269" s="796"/>
      <c r="AT269" s="796"/>
      <c r="AU269" s="796"/>
    </row>
    <row r="270" spans="1:47" ht="13.5">
      <c r="A270" s="796"/>
      <c r="B270" s="796"/>
      <c r="C270" s="796"/>
      <c r="D270" s="796"/>
      <c r="E270" s="796"/>
      <c r="F270" s="796"/>
      <c r="G270" s="796"/>
      <c r="H270" s="796"/>
      <c r="I270" s="796"/>
      <c r="J270" s="796"/>
      <c r="K270" s="796"/>
      <c r="L270" s="796"/>
      <c r="M270" s="796"/>
      <c r="N270" s="796"/>
      <c r="O270" s="796"/>
      <c r="P270" s="796"/>
      <c r="Q270" s="796"/>
      <c r="R270" s="796"/>
      <c r="S270" s="796"/>
      <c r="T270" s="796"/>
      <c r="U270" s="796"/>
      <c r="V270" s="796"/>
      <c r="W270" s="796"/>
      <c r="X270" s="796"/>
      <c r="Y270" s="796"/>
      <c r="Z270" s="796"/>
      <c r="AA270" s="796"/>
      <c r="AB270" s="796"/>
      <c r="AC270" s="796"/>
      <c r="AD270" s="796"/>
      <c r="AE270" s="796"/>
      <c r="AF270" s="796"/>
      <c r="AG270" s="796"/>
      <c r="AH270" s="796"/>
      <c r="AI270" s="796"/>
      <c r="AJ270" s="796"/>
      <c r="AK270" s="796"/>
      <c r="AL270" s="796"/>
      <c r="AM270" s="796"/>
      <c r="AN270" s="796"/>
      <c r="AO270" s="796"/>
      <c r="AP270" s="796"/>
      <c r="AQ270" s="796"/>
      <c r="AR270" s="796"/>
      <c r="AS270" s="796"/>
      <c r="AT270" s="796"/>
      <c r="AU270" s="796"/>
    </row>
    <row r="271" spans="1:47" ht="13.5">
      <c r="A271" s="796"/>
      <c r="B271" s="796"/>
      <c r="C271" s="796"/>
      <c r="D271" s="796"/>
      <c r="E271" s="796"/>
      <c r="F271" s="796"/>
      <c r="G271" s="796"/>
      <c r="H271" s="796"/>
      <c r="I271" s="796"/>
      <c r="J271" s="796"/>
      <c r="K271" s="796"/>
      <c r="L271" s="796"/>
      <c r="M271" s="796"/>
      <c r="N271" s="796"/>
      <c r="O271" s="796"/>
      <c r="P271" s="796"/>
      <c r="Q271" s="796"/>
      <c r="R271" s="796"/>
      <c r="S271" s="796"/>
      <c r="T271" s="796"/>
      <c r="U271" s="796"/>
      <c r="V271" s="796"/>
      <c r="W271" s="796"/>
      <c r="X271" s="796"/>
      <c r="Y271" s="796"/>
      <c r="Z271" s="796"/>
      <c r="AA271" s="796"/>
      <c r="AB271" s="796"/>
      <c r="AC271" s="796"/>
      <c r="AD271" s="796"/>
      <c r="AE271" s="796"/>
      <c r="AF271" s="796"/>
      <c r="AG271" s="796"/>
      <c r="AH271" s="796"/>
      <c r="AI271" s="796"/>
      <c r="AJ271" s="796"/>
      <c r="AK271" s="796"/>
      <c r="AL271" s="796"/>
      <c r="AM271" s="796"/>
      <c r="AN271" s="796"/>
      <c r="AO271" s="796"/>
      <c r="AP271" s="796"/>
      <c r="AQ271" s="796"/>
      <c r="AR271" s="796"/>
      <c r="AS271" s="796"/>
      <c r="AT271" s="796"/>
      <c r="AU271" s="796"/>
    </row>
    <row r="272" spans="1:47" ht="13.5">
      <c r="A272" s="796"/>
      <c r="B272" s="796"/>
      <c r="C272" s="796"/>
      <c r="D272" s="796"/>
      <c r="E272" s="796"/>
      <c r="F272" s="796"/>
      <c r="G272" s="796"/>
      <c r="H272" s="796"/>
      <c r="I272" s="796"/>
      <c r="J272" s="796"/>
      <c r="K272" s="796"/>
      <c r="L272" s="796"/>
      <c r="M272" s="796"/>
      <c r="N272" s="796"/>
      <c r="O272" s="796"/>
      <c r="P272" s="796"/>
      <c r="Q272" s="796"/>
      <c r="R272" s="796"/>
      <c r="S272" s="796"/>
      <c r="T272" s="796"/>
      <c r="U272" s="796"/>
      <c r="V272" s="796"/>
      <c r="W272" s="796"/>
      <c r="X272" s="796"/>
      <c r="Y272" s="796"/>
      <c r="Z272" s="796"/>
      <c r="AA272" s="796"/>
      <c r="AB272" s="796"/>
      <c r="AC272" s="796"/>
      <c r="AD272" s="796"/>
      <c r="AE272" s="796"/>
      <c r="AF272" s="796"/>
      <c r="AG272" s="796"/>
      <c r="AH272" s="796"/>
      <c r="AI272" s="796"/>
      <c r="AJ272" s="796"/>
      <c r="AK272" s="796"/>
      <c r="AL272" s="796"/>
      <c r="AM272" s="796"/>
      <c r="AN272" s="796"/>
      <c r="AO272" s="796"/>
      <c r="AP272" s="796"/>
      <c r="AQ272" s="796"/>
      <c r="AR272" s="796"/>
      <c r="AS272" s="796"/>
      <c r="AT272" s="796"/>
      <c r="AU272" s="796"/>
    </row>
    <row r="273" spans="1:47" ht="13.5">
      <c r="A273" s="796"/>
      <c r="B273" s="796"/>
      <c r="C273" s="796"/>
      <c r="D273" s="796"/>
      <c r="E273" s="796"/>
      <c r="F273" s="796"/>
      <c r="G273" s="796"/>
      <c r="H273" s="796"/>
      <c r="I273" s="796"/>
      <c r="J273" s="796"/>
      <c r="K273" s="796"/>
      <c r="L273" s="796"/>
      <c r="M273" s="796"/>
      <c r="N273" s="796"/>
      <c r="O273" s="796"/>
      <c r="P273" s="796"/>
      <c r="Q273" s="796"/>
      <c r="R273" s="796"/>
      <c r="S273" s="796"/>
      <c r="T273" s="796"/>
      <c r="U273" s="796"/>
      <c r="V273" s="796"/>
      <c r="W273" s="796"/>
      <c r="X273" s="796"/>
      <c r="Y273" s="796"/>
      <c r="Z273" s="796"/>
      <c r="AA273" s="796"/>
      <c r="AB273" s="796"/>
      <c r="AC273" s="796"/>
      <c r="AD273" s="796"/>
      <c r="AE273" s="796"/>
      <c r="AF273" s="796"/>
      <c r="AG273" s="796"/>
      <c r="AH273" s="796"/>
      <c r="AI273" s="796"/>
      <c r="AJ273" s="796"/>
      <c r="AK273" s="796"/>
      <c r="AL273" s="796"/>
      <c r="AM273" s="796"/>
      <c r="AN273" s="796"/>
      <c r="AO273" s="796"/>
      <c r="AP273" s="796"/>
      <c r="AQ273" s="796"/>
      <c r="AR273" s="796"/>
      <c r="AS273" s="796"/>
      <c r="AT273" s="796"/>
      <c r="AU273" s="796"/>
    </row>
    <row r="274" spans="1:47" ht="13.5">
      <c r="A274" s="796"/>
      <c r="B274" s="796"/>
      <c r="C274" s="796"/>
      <c r="D274" s="796"/>
      <c r="E274" s="796"/>
      <c r="F274" s="796"/>
      <c r="G274" s="796"/>
      <c r="H274" s="796"/>
      <c r="I274" s="796"/>
      <c r="J274" s="796"/>
      <c r="K274" s="796"/>
      <c r="L274" s="796"/>
      <c r="M274" s="796"/>
      <c r="N274" s="796"/>
      <c r="O274" s="796"/>
      <c r="P274" s="796"/>
      <c r="Q274" s="796"/>
      <c r="R274" s="796"/>
      <c r="S274" s="796"/>
      <c r="T274" s="796"/>
      <c r="U274" s="796"/>
      <c r="V274" s="796"/>
      <c r="W274" s="796"/>
      <c r="X274" s="796"/>
      <c r="Y274" s="796"/>
      <c r="Z274" s="796"/>
      <c r="AA274" s="796"/>
      <c r="AB274" s="796"/>
      <c r="AC274" s="796"/>
      <c r="AD274" s="796"/>
      <c r="AE274" s="796"/>
      <c r="AF274" s="796"/>
      <c r="AG274" s="796"/>
      <c r="AH274" s="796"/>
      <c r="AI274" s="796"/>
      <c r="AJ274" s="796"/>
      <c r="AK274" s="796"/>
      <c r="AL274" s="796"/>
      <c r="AM274" s="796"/>
      <c r="AN274" s="796"/>
      <c r="AO274" s="796"/>
      <c r="AP274" s="796"/>
      <c r="AQ274" s="796"/>
      <c r="AR274" s="796"/>
      <c r="AS274" s="796"/>
      <c r="AT274" s="796"/>
      <c r="AU274" s="796"/>
    </row>
    <row r="275" spans="1:47" ht="13.5">
      <c r="A275" s="796"/>
      <c r="B275" s="796"/>
      <c r="C275" s="796"/>
      <c r="D275" s="796"/>
      <c r="E275" s="796"/>
      <c r="F275" s="796"/>
      <c r="G275" s="796"/>
      <c r="H275" s="796"/>
      <c r="I275" s="796"/>
      <c r="J275" s="796"/>
      <c r="K275" s="796"/>
      <c r="L275" s="796"/>
      <c r="M275" s="796"/>
      <c r="N275" s="796"/>
      <c r="O275" s="796"/>
      <c r="P275" s="796"/>
      <c r="Q275" s="796"/>
      <c r="R275" s="796"/>
      <c r="S275" s="796"/>
      <c r="T275" s="796"/>
      <c r="U275" s="796"/>
      <c r="V275" s="796"/>
      <c r="W275" s="796"/>
      <c r="X275" s="796"/>
      <c r="Y275" s="796"/>
      <c r="Z275" s="796"/>
      <c r="AA275" s="796"/>
      <c r="AB275" s="796"/>
      <c r="AC275" s="796"/>
      <c r="AD275" s="796"/>
      <c r="AE275" s="796"/>
      <c r="AF275" s="796"/>
      <c r="AG275" s="796"/>
      <c r="AH275" s="796"/>
      <c r="AI275" s="796"/>
      <c r="AJ275" s="796"/>
      <c r="AK275" s="796"/>
      <c r="AL275" s="796"/>
      <c r="AM275" s="796"/>
      <c r="AN275" s="796"/>
      <c r="AO275" s="796"/>
      <c r="AP275" s="796"/>
      <c r="AQ275" s="796"/>
      <c r="AR275" s="796"/>
      <c r="AS275" s="796"/>
      <c r="AT275" s="796"/>
      <c r="AU275" s="796"/>
    </row>
    <row r="276" spans="1:47" ht="13.5">
      <c r="A276" s="796"/>
      <c r="B276" s="796"/>
      <c r="C276" s="796"/>
      <c r="D276" s="796"/>
      <c r="E276" s="796"/>
      <c r="F276" s="796"/>
      <c r="G276" s="796"/>
      <c r="H276" s="796"/>
      <c r="I276" s="796"/>
      <c r="J276" s="796"/>
      <c r="K276" s="796"/>
      <c r="L276" s="796"/>
      <c r="M276" s="796"/>
      <c r="N276" s="796"/>
      <c r="O276" s="796"/>
      <c r="P276" s="796"/>
      <c r="Q276" s="796"/>
      <c r="R276" s="796"/>
      <c r="S276" s="796"/>
      <c r="T276" s="796"/>
      <c r="U276" s="796"/>
      <c r="V276" s="796"/>
      <c r="W276" s="796"/>
      <c r="X276" s="796"/>
      <c r="Y276" s="796"/>
      <c r="Z276" s="796"/>
      <c r="AA276" s="796"/>
      <c r="AB276" s="796"/>
      <c r="AC276" s="796"/>
      <c r="AD276" s="796"/>
      <c r="AE276" s="796"/>
      <c r="AF276" s="796"/>
      <c r="AG276" s="796"/>
      <c r="AH276" s="796"/>
      <c r="AI276" s="796"/>
      <c r="AJ276" s="796"/>
      <c r="AK276" s="796"/>
      <c r="AL276" s="796"/>
      <c r="AM276" s="796"/>
      <c r="AN276" s="796"/>
      <c r="AO276" s="796"/>
      <c r="AP276" s="796"/>
      <c r="AQ276" s="796"/>
      <c r="AR276" s="796"/>
      <c r="AS276" s="796"/>
      <c r="AT276" s="796"/>
      <c r="AU276" s="796"/>
    </row>
    <row r="277" spans="1:47" ht="13.5">
      <c r="A277" s="796"/>
      <c r="B277" s="796"/>
      <c r="C277" s="796"/>
      <c r="D277" s="796"/>
      <c r="E277" s="796"/>
      <c r="F277" s="796"/>
      <c r="G277" s="796"/>
      <c r="H277" s="796"/>
      <c r="I277" s="796"/>
      <c r="J277" s="796"/>
      <c r="K277" s="796"/>
      <c r="L277" s="796"/>
      <c r="M277" s="796"/>
      <c r="N277" s="796"/>
      <c r="O277" s="796"/>
      <c r="P277" s="796"/>
      <c r="Q277" s="796"/>
      <c r="R277" s="796"/>
      <c r="S277" s="796"/>
      <c r="T277" s="796"/>
      <c r="U277" s="796"/>
      <c r="V277" s="796"/>
      <c r="W277" s="796"/>
      <c r="X277" s="796"/>
      <c r="Y277" s="796"/>
      <c r="Z277" s="796"/>
      <c r="AA277" s="796"/>
      <c r="AB277" s="796"/>
      <c r="AC277" s="796"/>
      <c r="AD277" s="796"/>
      <c r="AE277" s="796"/>
      <c r="AF277" s="796"/>
      <c r="AG277" s="796"/>
      <c r="AH277" s="796"/>
      <c r="AI277" s="796"/>
      <c r="AJ277" s="796"/>
      <c r="AK277" s="796"/>
      <c r="AL277" s="796"/>
      <c r="AM277" s="796"/>
      <c r="AN277" s="796"/>
      <c r="AO277" s="796"/>
      <c r="AP277" s="796"/>
      <c r="AQ277" s="796"/>
      <c r="AR277" s="796"/>
      <c r="AS277" s="796"/>
      <c r="AT277" s="796"/>
      <c r="AU277" s="796"/>
    </row>
    <row r="278" spans="1:47" ht="13.5">
      <c r="A278" s="796"/>
      <c r="B278" s="796"/>
      <c r="C278" s="796"/>
      <c r="D278" s="796"/>
      <c r="E278" s="796"/>
      <c r="F278" s="796"/>
      <c r="G278" s="796"/>
      <c r="H278" s="796"/>
      <c r="I278" s="796"/>
      <c r="J278" s="796"/>
      <c r="K278" s="796"/>
      <c r="L278" s="796"/>
      <c r="M278" s="796"/>
      <c r="N278" s="796"/>
      <c r="O278" s="796"/>
      <c r="P278" s="796"/>
      <c r="Q278" s="796"/>
      <c r="R278" s="796"/>
      <c r="S278" s="796"/>
      <c r="T278" s="796"/>
      <c r="U278" s="796"/>
      <c r="V278" s="796"/>
      <c r="W278" s="796"/>
      <c r="X278" s="796"/>
      <c r="Y278" s="796"/>
      <c r="Z278" s="796"/>
      <c r="AA278" s="796"/>
      <c r="AB278" s="796"/>
      <c r="AC278" s="796"/>
      <c r="AD278" s="796"/>
      <c r="AE278" s="796"/>
      <c r="AF278" s="796"/>
      <c r="AG278" s="796"/>
      <c r="AH278" s="796"/>
      <c r="AI278" s="796"/>
      <c r="AJ278" s="796"/>
      <c r="AK278" s="796"/>
      <c r="AL278" s="796"/>
      <c r="AM278" s="796"/>
      <c r="AN278" s="796"/>
      <c r="AO278" s="796"/>
      <c r="AP278" s="796"/>
      <c r="AQ278" s="796"/>
      <c r="AR278" s="796"/>
      <c r="AS278" s="796"/>
      <c r="AT278" s="796"/>
      <c r="AU278" s="796"/>
    </row>
    <row r="279" spans="1:47" ht="13.5">
      <c r="A279" s="796"/>
      <c r="B279" s="796"/>
      <c r="C279" s="796"/>
      <c r="D279" s="796"/>
      <c r="E279" s="796"/>
      <c r="F279" s="796"/>
      <c r="G279" s="796"/>
      <c r="H279" s="796"/>
      <c r="I279" s="796"/>
      <c r="J279" s="796"/>
      <c r="K279" s="796"/>
      <c r="L279" s="796"/>
      <c r="M279" s="796"/>
      <c r="N279" s="796"/>
      <c r="O279" s="796"/>
      <c r="P279" s="796"/>
      <c r="Q279" s="796"/>
      <c r="R279" s="796"/>
      <c r="S279" s="796"/>
      <c r="T279" s="796"/>
      <c r="U279" s="796"/>
      <c r="V279" s="796"/>
      <c r="W279" s="796"/>
      <c r="X279" s="796"/>
      <c r="Y279" s="796"/>
      <c r="Z279" s="796"/>
      <c r="AA279" s="796"/>
      <c r="AB279" s="796"/>
      <c r="AC279" s="796"/>
      <c r="AD279" s="796"/>
      <c r="AE279" s="796"/>
      <c r="AF279" s="796"/>
      <c r="AG279" s="796"/>
      <c r="AH279" s="796"/>
      <c r="AI279" s="796"/>
      <c r="AJ279" s="796"/>
      <c r="AK279" s="796"/>
      <c r="AL279" s="796"/>
      <c r="AM279" s="796"/>
      <c r="AN279" s="796"/>
      <c r="AO279" s="796"/>
      <c r="AP279" s="796"/>
      <c r="AQ279" s="796"/>
      <c r="AR279" s="796"/>
      <c r="AS279" s="796"/>
      <c r="AT279" s="796"/>
      <c r="AU279" s="796"/>
    </row>
    <row r="280" spans="1:47" ht="13.5">
      <c r="A280" s="796"/>
      <c r="B280" s="796"/>
      <c r="C280" s="796"/>
      <c r="D280" s="796"/>
      <c r="E280" s="796"/>
      <c r="F280" s="796"/>
      <c r="G280" s="796"/>
      <c r="H280" s="796"/>
      <c r="I280" s="796"/>
      <c r="J280" s="796"/>
      <c r="K280" s="796"/>
      <c r="L280" s="796"/>
      <c r="M280" s="796"/>
      <c r="N280" s="796"/>
      <c r="O280" s="796"/>
      <c r="P280" s="796"/>
      <c r="Q280" s="796"/>
      <c r="R280" s="796"/>
      <c r="S280" s="796"/>
      <c r="T280" s="796"/>
      <c r="U280" s="796"/>
      <c r="V280" s="796"/>
      <c r="W280" s="796"/>
      <c r="X280" s="796"/>
      <c r="Y280" s="796"/>
      <c r="Z280" s="796"/>
      <c r="AA280" s="796"/>
      <c r="AB280" s="796"/>
      <c r="AC280" s="796"/>
      <c r="AD280" s="796"/>
      <c r="AE280" s="796"/>
      <c r="AF280" s="796"/>
      <c r="AG280" s="796"/>
      <c r="AH280" s="796"/>
      <c r="AI280" s="796"/>
      <c r="AJ280" s="796"/>
      <c r="AK280" s="796"/>
      <c r="AL280" s="796"/>
      <c r="AM280" s="796"/>
      <c r="AN280" s="796"/>
      <c r="AO280" s="796"/>
      <c r="AP280" s="796"/>
      <c r="AQ280" s="796"/>
      <c r="AR280" s="796"/>
      <c r="AS280" s="796"/>
      <c r="AT280" s="796"/>
      <c r="AU280" s="796"/>
    </row>
    <row r="281" spans="1:47" ht="13.5">
      <c r="A281" s="796"/>
      <c r="B281" s="796"/>
      <c r="C281" s="796"/>
      <c r="D281" s="796"/>
      <c r="E281" s="796"/>
      <c r="F281" s="796"/>
      <c r="G281" s="796"/>
      <c r="H281" s="796"/>
      <c r="I281" s="796"/>
      <c r="J281" s="796"/>
      <c r="K281" s="796"/>
      <c r="L281" s="796"/>
      <c r="M281" s="796"/>
      <c r="N281" s="796"/>
      <c r="O281" s="796"/>
      <c r="P281" s="796"/>
      <c r="Q281" s="796"/>
      <c r="R281" s="796"/>
      <c r="S281" s="796"/>
      <c r="T281" s="796"/>
      <c r="U281" s="796"/>
      <c r="V281" s="796"/>
      <c r="W281" s="796"/>
      <c r="X281" s="796"/>
      <c r="Y281" s="796"/>
      <c r="Z281" s="796"/>
      <c r="AA281" s="796"/>
      <c r="AB281" s="796"/>
      <c r="AC281" s="796"/>
      <c r="AD281" s="796"/>
      <c r="AE281" s="796"/>
      <c r="AF281" s="796"/>
      <c r="AG281" s="796"/>
      <c r="AH281" s="796"/>
      <c r="AI281" s="796"/>
      <c r="AJ281" s="796"/>
      <c r="AK281" s="796"/>
      <c r="AL281" s="796"/>
      <c r="AM281" s="796"/>
      <c r="AN281" s="796"/>
      <c r="AO281" s="796"/>
      <c r="AP281" s="796"/>
      <c r="AQ281" s="796"/>
      <c r="AR281" s="796"/>
      <c r="AS281" s="796"/>
      <c r="AT281" s="796"/>
      <c r="AU281" s="796"/>
    </row>
    <row r="282" spans="1:47" ht="13.5">
      <c r="A282" s="796"/>
      <c r="B282" s="796"/>
      <c r="C282" s="796"/>
      <c r="D282" s="796"/>
      <c r="E282" s="796"/>
      <c r="F282" s="796"/>
      <c r="G282" s="796"/>
      <c r="H282" s="796"/>
      <c r="I282" s="796"/>
      <c r="J282" s="796"/>
      <c r="K282" s="796"/>
      <c r="L282" s="796"/>
      <c r="M282" s="796"/>
      <c r="N282" s="796"/>
      <c r="O282" s="796"/>
      <c r="P282" s="796"/>
      <c r="Q282" s="796"/>
      <c r="R282" s="796"/>
      <c r="S282" s="796"/>
      <c r="T282" s="796"/>
      <c r="U282" s="796"/>
      <c r="V282" s="796"/>
      <c r="W282" s="796"/>
      <c r="X282" s="796"/>
      <c r="Y282" s="796"/>
      <c r="Z282" s="796"/>
      <c r="AA282" s="796"/>
      <c r="AB282" s="796"/>
      <c r="AC282" s="796"/>
      <c r="AD282" s="796"/>
      <c r="AE282" s="796"/>
      <c r="AF282" s="796"/>
      <c r="AG282" s="796"/>
      <c r="AH282" s="796"/>
      <c r="AI282" s="796"/>
      <c r="AJ282" s="796"/>
      <c r="AK282" s="796"/>
      <c r="AL282" s="796"/>
      <c r="AM282" s="796"/>
      <c r="AN282" s="796"/>
      <c r="AO282" s="796"/>
      <c r="AP282" s="796"/>
      <c r="AQ282" s="796"/>
      <c r="AR282" s="796"/>
      <c r="AS282" s="796"/>
      <c r="AT282" s="796"/>
      <c r="AU282" s="796"/>
    </row>
    <row r="283" spans="1:47" ht="13.5">
      <c r="A283" s="796"/>
      <c r="B283" s="796"/>
      <c r="C283" s="796"/>
      <c r="D283" s="796"/>
      <c r="E283" s="796"/>
      <c r="F283" s="796"/>
      <c r="G283" s="796"/>
      <c r="H283" s="796"/>
      <c r="I283" s="796"/>
      <c r="J283" s="796"/>
      <c r="K283" s="796"/>
      <c r="L283" s="796"/>
      <c r="M283" s="796"/>
      <c r="N283" s="796"/>
      <c r="O283" s="796"/>
      <c r="P283" s="796"/>
      <c r="Q283" s="796"/>
      <c r="R283" s="796"/>
      <c r="S283" s="796"/>
      <c r="T283" s="796"/>
      <c r="U283" s="796"/>
      <c r="V283" s="796"/>
      <c r="W283" s="796"/>
      <c r="X283" s="796"/>
      <c r="Y283" s="796"/>
      <c r="Z283" s="796"/>
      <c r="AA283" s="796"/>
      <c r="AB283" s="796"/>
      <c r="AC283" s="796"/>
      <c r="AD283" s="796"/>
      <c r="AE283" s="796"/>
      <c r="AF283" s="796"/>
      <c r="AG283" s="796"/>
      <c r="AH283" s="796"/>
      <c r="AI283" s="796"/>
      <c r="AJ283" s="796"/>
      <c r="AK283" s="796"/>
      <c r="AL283" s="796"/>
      <c r="AM283" s="796"/>
      <c r="AN283" s="796"/>
      <c r="AO283" s="796"/>
      <c r="AP283" s="796"/>
      <c r="AQ283" s="796"/>
      <c r="AR283" s="796"/>
      <c r="AS283" s="796"/>
      <c r="AT283" s="796"/>
      <c r="AU283" s="796"/>
    </row>
    <row r="284" spans="1:47" ht="13.5">
      <c r="A284" s="796"/>
      <c r="B284" s="796"/>
      <c r="C284" s="796"/>
      <c r="D284" s="796"/>
      <c r="E284" s="796"/>
      <c r="F284" s="796"/>
      <c r="G284" s="796"/>
      <c r="H284" s="796"/>
      <c r="I284" s="796"/>
      <c r="J284" s="796"/>
      <c r="K284" s="796"/>
      <c r="L284" s="796"/>
      <c r="M284" s="796"/>
      <c r="N284" s="796"/>
      <c r="O284" s="796"/>
      <c r="P284" s="796"/>
      <c r="Q284" s="796"/>
      <c r="R284" s="796"/>
      <c r="S284" s="796"/>
      <c r="T284" s="796"/>
      <c r="U284" s="796"/>
      <c r="V284" s="796"/>
      <c r="W284" s="796"/>
      <c r="X284" s="796"/>
      <c r="Y284" s="796"/>
      <c r="Z284" s="796"/>
      <c r="AA284" s="796"/>
      <c r="AB284" s="796"/>
      <c r="AC284" s="796"/>
      <c r="AD284" s="796"/>
      <c r="AE284" s="796"/>
      <c r="AF284" s="796"/>
      <c r="AG284" s="796"/>
      <c r="AH284" s="796"/>
      <c r="AI284" s="796"/>
      <c r="AJ284" s="796"/>
      <c r="AK284" s="796"/>
      <c r="AL284" s="796"/>
      <c r="AM284" s="796"/>
      <c r="AN284" s="796"/>
      <c r="AO284" s="796"/>
      <c r="AP284" s="796"/>
      <c r="AQ284" s="796"/>
      <c r="AR284" s="796"/>
      <c r="AS284" s="796"/>
      <c r="AT284" s="796"/>
      <c r="AU284" s="796"/>
    </row>
    <row r="285" spans="1:47" ht="13.5">
      <c r="A285" s="796"/>
      <c r="B285" s="796"/>
      <c r="C285" s="796"/>
      <c r="D285" s="796"/>
      <c r="E285" s="796"/>
      <c r="F285" s="796"/>
      <c r="G285" s="796"/>
      <c r="H285" s="796"/>
      <c r="I285" s="796"/>
      <c r="J285" s="796"/>
      <c r="K285" s="796"/>
      <c r="L285" s="796"/>
      <c r="M285" s="796"/>
      <c r="N285" s="796"/>
      <c r="O285" s="796"/>
      <c r="P285" s="796"/>
      <c r="Q285" s="796"/>
      <c r="R285" s="796"/>
      <c r="S285" s="796"/>
      <c r="T285" s="796"/>
      <c r="U285" s="796"/>
      <c r="V285" s="796"/>
      <c r="W285" s="796"/>
      <c r="X285" s="796"/>
      <c r="Y285" s="796"/>
      <c r="Z285" s="796"/>
      <c r="AA285" s="796"/>
      <c r="AB285" s="796"/>
      <c r="AC285" s="796"/>
      <c r="AD285" s="796"/>
      <c r="AE285" s="796"/>
      <c r="AF285" s="796"/>
      <c r="AG285" s="796"/>
      <c r="AH285" s="796"/>
      <c r="AI285" s="796"/>
      <c r="AJ285" s="796"/>
      <c r="AK285" s="796"/>
      <c r="AL285" s="796"/>
      <c r="AM285" s="796"/>
      <c r="AN285" s="796"/>
      <c r="AO285" s="796"/>
      <c r="AP285" s="796"/>
      <c r="AQ285" s="796"/>
      <c r="AR285" s="796"/>
      <c r="AS285" s="796"/>
      <c r="AT285" s="796"/>
      <c r="AU285" s="796"/>
    </row>
    <row r="286" spans="1:47" ht="13.5">
      <c r="A286" s="796"/>
      <c r="B286" s="796"/>
      <c r="C286" s="796"/>
      <c r="D286" s="796"/>
      <c r="E286" s="796"/>
      <c r="F286" s="796"/>
      <c r="G286" s="796"/>
      <c r="H286" s="796"/>
      <c r="I286" s="796"/>
      <c r="J286" s="796"/>
      <c r="K286" s="796"/>
      <c r="L286" s="796"/>
      <c r="M286" s="796"/>
      <c r="N286" s="796"/>
      <c r="O286" s="796"/>
      <c r="P286" s="796"/>
      <c r="Q286" s="796"/>
      <c r="R286" s="796"/>
      <c r="S286" s="796"/>
      <c r="T286" s="796"/>
      <c r="U286" s="796"/>
      <c r="V286" s="796"/>
      <c r="W286" s="796"/>
      <c r="X286" s="796"/>
      <c r="Y286" s="796"/>
      <c r="Z286" s="796"/>
      <c r="AA286" s="796"/>
      <c r="AB286" s="796"/>
      <c r="AC286" s="796"/>
      <c r="AD286" s="796"/>
      <c r="AE286" s="796"/>
      <c r="AF286" s="796"/>
      <c r="AG286" s="796"/>
      <c r="AH286" s="796"/>
      <c r="AI286" s="796"/>
      <c r="AJ286" s="796"/>
      <c r="AK286" s="796"/>
      <c r="AL286" s="796"/>
      <c r="AM286" s="796"/>
      <c r="AN286" s="796"/>
      <c r="AO286" s="796"/>
      <c r="AP286" s="796"/>
      <c r="AQ286" s="796"/>
      <c r="AR286" s="796"/>
      <c r="AS286" s="796"/>
      <c r="AT286" s="796"/>
      <c r="AU286" s="796"/>
    </row>
    <row r="287" spans="1:47" ht="13.5">
      <c r="A287" s="796"/>
      <c r="B287" s="796"/>
      <c r="C287" s="796"/>
      <c r="D287" s="796"/>
      <c r="E287" s="796"/>
      <c r="F287" s="796"/>
      <c r="G287" s="796"/>
      <c r="H287" s="796"/>
      <c r="I287" s="796"/>
      <c r="J287" s="796"/>
      <c r="K287" s="796"/>
      <c r="L287" s="796"/>
      <c r="M287" s="796"/>
      <c r="N287" s="796"/>
      <c r="O287" s="796"/>
      <c r="P287" s="796"/>
      <c r="Q287" s="796"/>
      <c r="R287" s="796"/>
      <c r="S287" s="796"/>
      <c r="T287" s="796"/>
      <c r="U287" s="796"/>
      <c r="V287" s="796"/>
      <c r="W287" s="796"/>
      <c r="X287" s="796"/>
      <c r="Y287" s="796"/>
      <c r="Z287" s="796"/>
      <c r="AA287" s="796"/>
      <c r="AB287" s="796"/>
      <c r="AC287" s="796"/>
      <c r="AD287" s="796"/>
      <c r="AE287" s="796"/>
      <c r="AF287" s="796"/>
      <c r="AG287" s="796"/>
      <c r="AH287" s="796"/>
      <c r="AI287" s="796"/>
      <c r="AJ287" s="796"/>
      <c r="AK287" s="796"/>
      <c r="AL287" s="796"/>
      <c r="AM287" s="796"/>
      <c r="AN287" s="796"/>
      <c r="AO287" s="796"/>
      <c r="AP287" s="796"/>
      <c r="AQ287" s="796"/>
      <c r="AR287" s="796"/>
      <c r="AS287" s="796"/>
      <c r="AT287" s="796"/>
      <c r="AU287" s="796"/>
    </row>
    <row r="288" spans="1:47" ht="13.5">
      <c r="A288" s="796"/>
      <c r="B288" s="796"/>
      <c r="C288" s="796"/>
      <c r="D288" s="796"/>
      <c r="E288" s="796"/>
      <c r="F288" s="796"/>
      <c r="G288" s="796"/>
      <c r="H288" s="796"/>
      <c r="I288" s="796"/>
      <c r="J288" s="796"/>
      <c r="K288" s="796"/>
      <c r="L288" s="796"/>
      <c r="M288" s="796"/>
      <c r="N288" s="796"/>
      <c r="O288" s="796"/>
      <c r="P288" s="796"/>
      <c r="Q288" s="796"/>
      <c r="R288" s="796"/>
      <c r="S288" s="796"/>
      <c r="T288" s="796"/>
      <c r="U288" s="796"/>
      <c r="V288" s="796"/>
      <c r="W288" s="796"/>
      <c r="X288" s="796"/>
      <c r="Y288" s="796"/>
      <c r="Z288" s="796"/>
      <c r="AA288" s="796"/>
      <c r="AB288" s="796"/>
      <c r="AC288" s="796"/>
      <c r="AD288" s="796"/>
      <c r="AE288" s="796"/>
      <c r="AF288" s="796"/>
      <c r="AG288" s="796"/>
      <c r="AH288" s="796"/>
      <c r="AI288" s="796"/>
      <c r="AJ288" s="796"/>
      <c r="AK288" s="796"/>
      <c r="AL288" s="796"/>
      <c r="AM288" s="796"/>
      <c r="AN288" s="796"/>
      <c r="AO288" s="796"/>
      <c r="AP288" s="796"/>
      <c r="AQ288" s="796"/>
      <c r="AR288" s="796"/>
      <c r="AS288" s="796"/>
      <c r="AT288" s="796"/>
      <c r="AU288" s="796"/>
    </row>
    <row r="289" spans="1:47" ht="13.5">
      <c r="A289" s="796"/>
      <c r="B289" s="796"/>
      <c r="C289" s="796"/>
      <c r="D289" s="796"/>
      <c r="E289" s="796"/>
      <c r="F289" s="796"/>
      <c r="G289" s="796"/>
      <c r="H289" s="796"/>
      <c r="I289" s="796"/>
      <c r="J289" s="796"/>
      <c r="K289" s="796"/>
      <c r="L289" s="796"/>
      <c r="M289" s="796"/>
      <c r="N289" s="796"/>
      <c r="O289" s="796"/>
      <c r="P289" s="796"/>
      <c r="Q289" s="796"/>
      <c r="R289" s="796"/>
      <c r="S289" s="796"/>
      <c r="T289" s="796"/>
      <c r="U289" s="796"/>
      <c r="V289" s="796"/>
      <c r="W289" s="796"/>
      <c r="X289" s="796"/>
      <c r="Y289" s="796"/>
      <c r="Z289" s="796"/>
      <c r="AA289" s="796"/>
      <c r="AB289" s="796"/>
      <c r="AC289" s="796"/>
      <c r="AD289" s="796"/>
      <c r="AE289" s="796"/>
      <c r="AF289" s="796"/>
      <c r="AG289" s="796"/>
      <c r="AH289" s="796"/>
      <c r="AI289" s="796"/>
      <c r="AJ289" s="796"/>
      <c r="AK289" s="796"/>
      <c r="AL289" s="796"/>
      <c r="AM289" s="796"/>
      <c r="AN289" s="796"/>
      <c r="AO289" s="796"/>
      <c r="AP289" s="796"/>
      <c r="AQ289" s="796"/>
      <c r="AR289" s="796"/>
      <c r="AS289" s="796"/>
      <c r="AT289" s="796"/>
      <c r="AU289" s="796"/>
    </row>
    <row r="290" spans="1:47" ht="13.5">
      <c r="A290" s="796"/>
      <c r="B290" s="796"/>
      <c r="C290" s="796"/>
      <c r="D290" s="796"/>
      <c r="E290" s="796"/>
      <c r="F290" s="796"/>
      <c r="G290" s="796"/>
      <c r="H290" s="796"/>
      <c r="I290" s="796"/>
      <c r="J290" s="796"/>
      <c r="K290" s="796"/>
      <c r="L290" s="796"/>
      <c r="M290" s="796"/>
      <c r="N290" s="796"/>
      <c r="O290" s="796"/>
      <c r="P290" s="796"/>
      <c r="Q290" s="796"/>
      <c r="R290" s="796"/>
      <c r="S290" s="796"/>
      <c r="T290" s="796"/>
      <c r="U290" s="796"/>
      <c r="V290" s="796"/>
      <c r="W290" s="796"/>
      <c r="X290" s="796"/>
      <c r="Y290" s="796"/>
      <c r="Z290" s="796"/>
      <c r="AA290" s="796"/>
      <c r="AB290" s="796"/>
      <c r="AC290" s="796"/>
      <c r="AD290" s="796"/>
      <c r="AE290" s="796"/>
      <c r="AF290" s="796"/>
      <c r="AG290" s="796"/>
      <c r="AH290" s="796"/>
      <c r="AI290" s="796"/>
      <c r="AJ290" s="796"/>
      <c r="AK290" s="796"/>
      <c r="AL290" s="796"/>
      <c r="AM290" s="796"/>
      <c r="AN290" s="796"/>
      <c r="AO290" s="796"/>
      <c r="AP290" s="796"/>
      <c r="AQ290" s="796"/>
      <c r="AR290" s="796"/>
      <c r="AS290" s="796"/>
      <c r="AT290" s="796"/>
      <c r="AU290" s="796"/>
    </row>
    <row r="291" spans="1:47" ht="13.5">
      <c r="A291" s="796"/>
      <c r="B291" s="796"/>
      <c r="C291" s="796"/>
      <c r="D291" s="796"/>
      <c r="E291" s="796"/>
      <c r="F291" s="796"/>
      <c r="G291" s="796"/>
      <c r="H291" s="796"/>
      <c r="I291" s="796"/>
      <c r="J291" s="796"/>
      <c r="K291" s="796"/>
      <c r="L291" s="796"/>
      <c r="M291" s="796"/>
      <c r="N291" s="796"/>
      <c r="O291" s="796"/>
      <c r="P291" s="796"/>
      <c r="Q291" s="796"/>
      <c r="R291" s="796"/>
      <c r="S291" s="796"/>
      <c r="T291" s="796"/>
      <c r="U291" s="796"/>
      <c r="V291" s="796"/>
      <c r="W291" s="796"/>
      <c r="X291" s="796"/>
      <c r="Y291" s="796"/>
      <c r="Z291" s="796"/>
      <c r="AA291" s="796"/>
      <c r="AB291" s="796"/>
      <c r="AC291" s="796"/>
      <c r="AD291" s="796"/>
      <c r="AE291" s="796"/>
      <c r="AF291" s="796"/>
      <c r="AG291" s="796"/>
      <c r="AH291" s="796"/>
      <c r="AI291" s="796"/>
      <c r="AJ291" s="796"/>
      <c r="AK291" s="796"/>
      <c r="AL291" s="796"/>
      <c r="AM291" s="796"/>
      <c r="AN291" s="796"/>
      <c r="AO291" s="796"/>
      <c r="AP291" s="796"/>
      <c r="AQ291" s="796"/>
      <c r="AR291" s="796"/>
      <c r="AS291" s="796"/>
      <c r="AT291" s="796"/>
      <c r="AU291" s="796"/>
    </row>
    <row r="292" spans="1:47" ht="13.5">
      <c r="A292" s="796"/>
      <c r="B292" s="796"/>
      <c r="C292" s="796"/>
      <c r="D292" s="796"/>
      <c r="E292" s="796"/>
      <c r="F292" s="796"/>
      <c r="G292" s="796"/>
      <c r="H292" s="796"/>
      <c r="I292" s="796"/>
      <c r="J292" s="796"/>
      <c r="K292" s="796"/>
      <c r="L292" s="796"/>
      <c r="M292" s="796"/>
      <c r="N292" s="796"/>
      <c r="O292" s="796"/>
      <c r="P292" s="796"/>
      <c r="Q292" s="796"/>
      <c r="R292" s="796"/>
      <c r="S292" s="796"/>
      <c r="T292" s="796"/>
      <c r="U292" s="796"/>
      <c r="V292" s="796"/>
      <c r="W292" s="796"/>
      <c r="X292" s="796"/>
      <c r="Y292" s="796"/>
      <c r="Z292" s="796"/>
      <c r="AA292" s="796"/>
      <c r="AB292" s="796"/>
      <c r="AC292" s="796"/>
      <c r="AD292" s="796"/>
      <c r="AE292" s="796"/>
      <c r="AF292" s="796"/>
      <c r="AG292" s="796"/>
      <c r="AH292" s="796"/>
      <c r="AI292" s="796"/>
      <c r="AJ292" s="796"/>
      <c r="AK292" s="796"/>
      <c r="AL292" s="796"/>
      <c r="AM292" s="796"/>
      <c r="AN292" s="796"/>
      <c r="AO292" s="796"/>
      <c r="AP292" s="796"/>
      <c r="AQ292" s="796"/>
      <c r="AR292" s="796"/>
      <c r="AS292" s="796"/>
      <c r="AT292" s="796"/>
      <c r="AU292" s="796"/>
    </row>
    <row r="293" spans="1:47" ht="13.5">
      <c r="A293" s="796"/>
      <c r="B293" s="796"/>
      <c r="C293" s="796"/>
      <c r="D293" s="796"/>
      <c r="E293" s="796"/>
      <c r="F293" s="796"/>
      <c r="G293" s="796"/>
      <c r="H293" s="796"/>
      <c r="I293" s="796"/>
      <c r="J293" s="796"/>
      <c r="K293" s="796"/>
      <c r="L293" s="796"/>
      <c r="M293" s="796"/>
      <c r="N293" s="796"/>
      <c r="O293" s="796"/>
      <c r="P293" s="796"/>
      <c r="Q293" s="796"/>
      <c r="R293" s="796"/>
      <c r="S293" s="796"/>
      <c r="T293" s="796"/>
      <c r="U293" s="796"/>
      <c r="V293" s="796"/>
      <c r="W293" s="796"/>
      <c r="X293" s="796"/>
      <c r="Y293" s="796"/>
      <c r="Z293" s="796"/>
      <c r="AA293" s="796"/>
      <c r="AB293" s="796"/>
      <c r="AC293" s="796"/>
      <c r="AD293" s="796"/>
      <c r="AE293" s="796"/>
      <c r="AF293" s="796"/>
      <c r="AG293" s="796"/>
      <c r="AH293" s="796"/>
      <c r="AI293" s="796"/>
      <c r="AJ293" s="796"/>
      <c r="AK293" s="796"/>
      <c r="AL293" s="796"/>
      <c r="AM293" s="796"/>
      <c r="AN293" s="796"/>
      <c r="AO293" s="796"/>
      <c r="AP293" s="796"/>
      <c r="AQ293" s="796"/>
      <c r="AR293" s="796"/>
      <c r="AS293" s="796"/>
      <c r="AT293" s="796"/>
      <c r="AU293" s="796"/>
    </row>
    <row r="294" spans="1:47" ht="13.5">
      <c r="A294" s="796"/>
      <c r="B294" s="796"/>
      <c r="C294" s="796"/>
      <c r="D294" s="796"/>
      <c r="E294" s="796"/>
      <c r="F294" s="796"/>
      <c r="G294" s="796"/>
      <c r="H294" s="796"/>
      <c r="I294" s="796"/>
      <c r="J294" s="796"/>
      <c r="K294" s="796"/>
      <c r="L294" s="796"/>
      <c r="M294" s="796"/>
      <c r="N294" s="796"/>
      <c r="O294" s="796"/>
      <c r="P294" s="796"/>
      <c r="Q294" s="796"/>
      <c r="R294" s="796"/>
      <c r="S294" s="796"/>
      <c r="T294" s="796"/>
      <c r="U294" s="796"/>
      <c r="V294" s="796"/>
      <c r="W294" s="796"/>
      <c r="X294" s="796"/>
      <c r="Y294" s="796"/>
      <c r="Z294" s="796"/>
      <c r="AA294" s="796"/>
      <c r="AB294" s="796"/>
      <c r="AC294" s="796"/>
      <c r="AD294" s="796"/>
      <c r="AE294" s="796"/>
      <c r="AF294" s="796"/>
      <c r="AG294" s="796"/>
      <c r="AH294" s="796"/>
      <c r="AI294" s="796"/>
      <c r="AJ294" s="796"/>
      <c r="AK294" s="796"/>
      <c r="AL294" s="796"/>
      <c r="AM294" s="796"/>
      <c r="AN294" s="796"/>
      <c r="AO294" s="796"/>
      <c r="AP294" s="796"/>
      <c r="AQ294" s="796"/>
      <c r="AR294" s="796"/>
      <c r="AS294" s="796"/>
      <c r="AT294" s="796"/>
      <c r="AU294" s="796"/>
    </row>
    <row r="295" spans="1:47" ht="13.5">
      <c r="A295" s="796"/>
      <c r="B295" s="796"/>
      <c r="C295" s="796"/>
      <c r="D295" s="796"/>
      <c r="E295" s="796"/>
      <c r="F295" s="796"/>
      <c r="G295" s="796"/>
      <c r="H295" s="796"/>
      <c r="I295" s="796"/>
      <c r="J295" s="796"/>
      <c r="K295" s="796"/>
      <c r="L295" s="796"/>
      <c r="M295" s="796"/>
      <c r="N295" s="796"/>
      <c r="O295" s="796"/>
      <c r="P295" s="796"/>
      <c r="Q295" s="796"/>
      <c r="R295" s="796"/>
      <c r="S295" s="796"/>
      <c r="T295" s="796"/>
      <c r="U295" s="796"/>
      <c r="V295" s="796"/>
      <c r="W295" s="796"/>
      <c r="X295" s="796"/>
      <c r="Y295" s="796"/>
      <c r="Z295" s="796"/>
      <c r="AA295" s="796"/>
      <c r="AB295" s="796"/>
      <c r="AC295" s="796"/>
      <c r="AD295" s="796"/>
      <c r="AE295" s="796"/>
      <c r="AF295" s="796"/>
      <c r="AG295" s="796"/>
      <c r="AH295" s="796"/>
      <c r="AI295" s="796"/>
      <c r="AJ295" s="796"/>
      <c r="AK295" s="796"/>
      <c r="AL295" s="796"/>
      <c r="AM295" s="796"/>
      <c r="AN295" s="796"/>
      <c r="AO295" s="796"/>
      <c r="AP295" s="796"/>
      <c r="AQ295" s="796"/>
      <c r="AR295" s="796"/>
      <c r="AS295" s="796"/>
      <c r="AT295" s="796"/>
      <c r="AU295" s="796"/>
    </row>
    <row r="296" spans="1:47" ht="13.5">
      <c r="A296" s="796"/>
      <c r="B296" s="796"/>
      <c r="C296" s="796"/>
      <c r="D296" s="796"/>
      <c r="E296" s="796"/>
      <c r="F296" s="796"/>
      <c r="G296" s="796"/>
      <c r="H296" s="796"/>
      <c r="I296" s="796"/>
      <c r="J296" s="796"/>
      <c r="K296" s="796"/>
      <c r="L296" s="796"/>
      <c r="M296" s="796"/>
      <c r="N296" s="796"/>
      <c r="O296" s="796"/>
      <c r="P296" s="796"/>
      <c r="Q296" s="796"/>
      <c r="R296" s="796"/>
      <c r="S296" s="796"/>
      <c r="T296" s="796"/>
      <c r="U296" s="796"/>
      <c r="V296" s="796"/>
      <c r="W296" s="796"/>
      <c r="X296" s="796"/>
      <c r="Y296" s="796"/>
      <c r="Z296" s="796"/>
      <c r="AA296" s="796"/>
      <c r="AB296" s="796"/>
      <c r="AC296" s="796"/>
      <c r="AD296" s="796"/>
      <c r="AE296" s="796"/>
      <c r="AF296" s="796"/>
      <c r="AG296" s="796"/>
      <c r="AH296" s="796"/>
      <c r="AI296" s="796"/>
      <c r="AJ296" s="796"/>
      <c r="AK296" s="796"/>
      <c r="AL296" s="796"/>
      <c r="AM296" s="796"/>
      <c r="AN296" s="796"/>
      <c r="AO296" s="796"/>
      <c r="AP296" s="796"/>
      <c r="AQ296" s="796"/>
      <c r="AR296" s="796"/>
      <c r="AS296" s="796"/>
      <c r="AT296" s="796"/>
      <c r="AU296" s="796"/>
    </row>
    <row r="297" spans="1:47" ht="13.5">
      <c r="A297" s="796"/>
      <c r="B297" s="796"/>
      <c r="C297" s="796"/>
      <c r="D297" s="796"/>
      <c r="E297" s="796"/>
      <c r="F297" s="796"/>
      <c r="G297" s="796"/>
      <c r="H297" s="796"/>
      <c r="I297" s="796"/>
      <c r="J297" s="796"/>
      <c r="K297" s="796"/>
      <c r="L297" s="796"/>
      <c r="M297" s="796"/>
      <c r="N297" s="796"/>
      <c r="O297" s="796"/>
      <c r="P297" s="796"/>
      <c r="Q297" s="796"/>
      <c r="R297" s="796"/>
      <c r="S297" s="796"/>
      <c r="T297" s="796"/>
      <c r="U297" s="796"/>
      <c r="V297" s="796"/>
      <c r="W297" s="796"/>
      <c r="X297" s="796"/>
      <c r="Y297" s="796"/>
      <c r="Z297" s="796"/>
      <c r="AA297" s="796"/>
      <c r="AB297" s="796"/>
      <c r="AC297" s="796"/>
      <c r="AD297" s="796"/>
      <c r="AE297" s="796"/>
      <c r="AF297" s="796"/>
      <c r="AG297" s="796"/>
      <c r="AH297" s="796"/>
      <c r="AI297" s="796"/>
      <c r="AJ297" s="796"/>
      <c r="AK297" s="796"/>
      <c r="AL297" s="796"/>
      <c r="AM297" s="796"/>
      <c r="AN297" s="796"/>
      <c r="AO297" s="796"/>
      <c r="AP297" s="796"/>
      <c r="AQ297" s="796"/>
      <c r="AR297" s="796"/>
      <c r="AS297" s="796"/>
      <c r="AT297" s="796"/>
      <c r="AU297" s="796"/>
    </row>
    <row r="298" spans="1:47" ht="13.5">
      <c r="A298" s="796"/>
      <c r="B298" s="796"/>
      <c r="C298" s="796"/>
      <c r="D298" s="796"/>
      <c r="E298" s="796"/>
      <c r="F298" s="796"/>
      <c r="G298" s="796"/>
      <c r="H298" s="796"/>
      <c r="I298" s="796"/>
      <c r="J298" s="796"/>
      <c r="K298" s="796"/>
      <c r="L298" s="796"/>
      <c r="M298" s="796"/>
      <c r="N298" s="796"/>
      <c r="O298" s="796"/>
      <c r="P298" s="796"/>
      <c r="Q298" s="796"/>
      <c r="R298" s="796"/>
      <c r="S298" s="796"/>
      <c r="T298" s="796"/>
      <c r="U298" s="796"/>
      <c r="V298" s="796"/>
      <c r="W298" s="796"/>
      <c r="X298" s="796"/>
      <c r="Y298" s="796"/>
      <c r="Z298" s="796"/>
      <c r="AA298" s="796"/>
      <c r="AB298" s="796"/>
      <c r="AC298" s="796"/>
      <c r="AD298" s="796"/>
      <c r="AE298" s="796"/>
      <c r="AF298" s="796"/>
      <c r="AG298" s="796"/>
      <c r="AH298" s="796"/>
      <c r="AI298" s="796"/>
      <c r="AJ298" s="796"/>
      <c r="AK298" s="796"/>
      <c r="AL298" s="796"/>
      <c r="AM298" s="796"/>
      <c r="AN298" s="796"/>
      <c r="AO298" s="796"/>
      <c r="AP298" s="796"/>
      <c r="AQ298" s="796"/>
      <c r="AR298" s="796"/>
      <c r="AS298" s="796"/>
      <c r="AT298" s="796"/>
      <c r="AU298" s="796"/>
    </row>
    <row r="299" spans="1:47" ht="13.5">
      <c r="A299" s="796"/>
      <c r="B299" s="796"/>
      <c r="C299" s="796"/>
      <c r="D299" s="796"/>
      <c r="E299" s="796"/>
      <c r="F299" s="796"/>
      <c r="G299" s="796"/>
      <c r="H299" s="796"/>
      <c r="I299" s="796"/>
      <c r="J299" s="796"/>
      <c r="K299" s="796"/>
      <c r="L299" s="796"/>
      <c r="M299" s="796"/>
      <c r="N299" s="796"/>
      <c r="O299" s="796"/>
      <c r="P299" s="796"/>
      <c r="Q299" s="796"/>
      <c r="R299" s="796"/>
      <c r="S299" s="796"/>
      <c r="T299" s="796"/>
      <c r="U299" s="796"/>
      <c r="V299" s="796"/>
      <c r="W299" s="796"/>
      <c r="X299" s="796"/>
      <c r="Y299" s="796"/>
      <c r="Z299" s="796"/>
      <c r="AA299" s="796"/>
      <c r="AB299" s="796"/>
      <c r="AC299" s="796"/>
      <c r="AD299" s="796"/>
      <c r="AE299" s="796"/>
      <c r="AF299" s="796"/>
      <c r="AG299" s="796"/>
      <c r="AH299" s="796"/>
      <c r="AI299" s="796"/>
      <c r="AJ299" s="796"/>
      <c r="AK299" s="796"/>
      <c r="AL299" s="796"/>
      <c r="AM299" s="796"/>
      <c r="AN299" s="796"/>
      <c r="AO299" s="796"/>
      <c r="AP299" s="796"/>
      <c r="AQ299" s="796"/>
      <c r="AR299" s="796"/>
      <c r="AS299" s="796"/>
      <c r="AT299" s="796"/>
      <c r="AU299" s="796"/>
    </row>
    <row r="300" spans="1:47" ht="13.5">
      <c r="A300" s="796"/>
      <c r="B300" s="796"/>
      <c r="C300" s="796"/>
      <c r="D300" s="796"/>
      <c r="E300" s="796"/>
      <c r="F300" s="796"/>
      <c r="G300" s="796"/>
      <c r="H300" s="796"/>
      <c r="I300" s="796"/>
      <c r="J300" s="796"/>
      <c r="K300" s="796"/>
      <c r="L300" s="796"/>
      <c r="M300" s="796"/>
      <c r="N300" s="796"/>
      <c r="O300" s="796"/>
      <c r="P300" s="796"/>
      <c r="Q300" s="796"/>
      <c r="R300" s="796"/>
      <c r="S300" s="796"/>
      <c r="T300" s="796"/>
      <c r="U300" s="796"/>
      <c r="V300" s="796"/>
      <c r="W300" s="796"/>
      <c r="X300" s="796"/>
      <c r="Y300" s="796"/>
      <c r="Z300" s="796"/>
      <c r="AA300" s="796"/>
      <c r="AB300" s="796"/>
      <c r="AC300" s="796"/>
      <c r="AD300" s="796"/>
      <c r="AE300" s="796"/>
      <c r="AF300" s="796"/>
      <c r="AG300" s="796"/>
      <c r="AH300" s="796"/>
      <c r="AI300" s="796"/>
      <c r="AJ300" s="796"/>
      <c r="AK300" s="796"/>
      <c r="AL300" s="796"/>
      <c r="AM300" s="796"/>
      <c r="AN300" s="796"/>
      <c r="AO300" s="796"/>
      <c r="AP300" s="796"/>
      <c r="AQ300" s="796"/>
      <c r="AR300" s="796"/>
      <c r="AS300" s="796"/>
      <c r="AT300" s="796"/>
      <c r="AU300" s="796"/>
    </row>
    <row r="301" spans="1:47" ht="13.5">
      <c r="A301" s="796"/>
      <c r="B301" s="796"/>
      <c r="C301" s="796"/>
      <c r="D301" s="796"/>
      <c r="E301" s="796"/>
      <c r="F301" s="796"/>
      <c r="G301" s="796"/>
      <c r="H301" s="796"/>
      <c r="I301" s="796"/>
      <c r="J301" s="796"/>
      <c r="K301" s="796"/>
      <c r="L301" s="796"/>
      <c r="M301" s="796"/>
      <c r="N301" s="796"/>
      <c r="O301" s="796"/>
      <c r="P301" s="796"/>
      <c r="Q301" s="796"/>
      <c r="R301" s="796"/>
      <c r="S301" s="796"/>
      <c r="T301" s="796"/>
      <c r="U301" s="796"/>
      <c r="V301" s="796"/>
      <c r="W301" s="796"/>
      <c r="X301" s="796"/>
      <c r="Y301" s="796"/>
      <c r="Z301" s="796"/>
      <c r="AA301" s="796"/>
      <c r="AB301" s="796"/>
      <c r="AC301" s="796"/>
      <c r="AD301" s="796"/>
      <c r="AE301" s="796"/>
      <c r="AF301" s="796"/>
      <c r="AG301" s="796"/>
      <c r="AH301" s="796"/>
      <c r="AI301" s="796"/>
      <c r="AJ301" s="796"/>
      <c r="AK301" s="796"/>
      <c r="AL301" s="796"/>
      <c r="AM301" s="796"/>
      <c r="AN301" s="796"/>
      <c r="AO301" s="796"/>
      <c r="AP301" s="796"/>
      <c r="AQ301" s="796"/>
      <c r="AR301" s="796"/>
      <c r="AS301" s="796"/>
      <c r="AT301" s="796"/>
      <c r="AU301" s="796"/>
    </row>
    <row r="302" spans="1:47" ht="13.5">
      <c r="A302" s="796"/>
      <c r="B302" s="796"/>
      <c r="C302" s="796"/>
      <c r="D302" s="796"/>
      <c r="E302" s="796"/>
      <c r="F302" s="796"/>
      <c r="G302" s="796"/>
      <c r="H302" s="796"/>
      <c r="I302" s="796"/>
      <c r="J302" s="796"/>
      <c r="K302" s="796"/>
      <c r="L302" s="796"/>
      <c r="M302" s="796"/>
      <c r="N302" s="796"/>
      <c r="O302" s="796"/>
      <c r="P302" s="796"/>
      <c r="Q302" s="796"/>
      <c r="R302" s="796"/>
      <c r="S302" s="796"/>
      <c r="T302" s="796"/>
      <c r="U302" s="796"/>
      <c r="V302" s="796"/>
      <c r="W302" s="796"/>
      <c r="X302" s="796"/>
      <c r="Y302" s="796"/>
      <c r="Z302" s="796"/>
      <c r="AA302" s="796"/>
      <c r="AB302" s="796"/>
      <c r="AC302" s="796"/>
      <c r="AD302" s="796"/>
      <c r="AE302" s="796"/>
      <c r="AF302" s="796"/>
      <c r="AG302" s="796"/>
      <c r="AH302" s="796"/>
      <c r="AI302" s="796"/>
      <c r="AJ302" s="796"/>
      <c r="AK302" s="796"/>
      <c r="AL302" s="796"/>
      <c r="AM302" s="796"/>
      <c r="AN302" s="796"/>
      <c r="AO302" s="796"/>
      <c r="AP302" s="796"/>
      <c r="AQ302" s="796"/>
      <c r="AR302" s="796"/>
      <c r="AS302" s="796"/>
      <c r="AT302" s="796"/>
      <c r="AU302" s="796"/>
    </row>
    <row r="303" spans="1:47" ht="13.5">
      <c r="A303" s="796"/>
      <c r="B303" s="796"/>
      <c r="C303" s="796"/>
      <c r="D303" s="796"/>
      <c r="E303" s="796"/>
      <c r="F303" s="796"/>
      <c r="G303" s="796"/>
      <c r="H303" s="796"/>
      <c r="I303" s="796"/>
      <c r="J303" s="796"/>
      <c r="K303" s="796"/>
      <c r="L303" s="796"/>
      <c r="M303" s="796"/>
      <c r="N303" s="796"/>
      <c r="O303" s="796"/>
      <c r="P303" s="796"/>
      <c r="Q303" s="796"/>
      <c r="R303" s="796"/>
      <c r="S303" s="796"/>
      <c r="T303" s="796"/>
      <c r="U303" s="796"/>
      <c r="V303" s="796"/>
      <c r="W303" s="796"/>
      <c r="X303" s="796"/>
      <c r="Y303" s="796"/>
      <c r="Z303" s="796"/>
      <c r="AA303" s="796"/>
      <c r="AB303" s="796"/>
      <c r="AC303" s="796"/>
      <c r="AD303" s="796"/>
      <c r="AE303" s="796"/>
      <c r="AF303" s="796"/>
      <c r="AG303" s="796"/>
      <c r="AH303" s="796"/>
      <c r="AI303" s="796"/>
      <c r="AJ303" s="796"/>
      <c r="AK303" s="796"/>
      <c r="AL303" s="796"/>
      <c r="AM303" s="796"/>
      <c r="AN303" s="796"/>
      <c r="AO303" s="796"/>
      <c r="AP303" s="796"/>
      <c r="AQ303" s="796"/>
      <c r="AR303" s="796"/>
      <c r="AS303" s="796"/>
      <c r="AT303" s="796"/>
      <c r="AU303" s="796"/>
    </row>
    <row r="304" spans="1:47" ht="13.5">
      <c r="A304" s="796"/>
      <c r="B304" s="796"/>
      <c r="C304" s="796"/>
      <c r="D304" s="796"/>
      <c r="E304" s="796"/>
      <c r="F304" s="796"/>
      <c r="G304" s="796"/>
      <c r="H304" s="796"/>
      <c r="I304" s="796"/>
      <c r="J304" s="796"/>
      <c r="K304" s="796"/>
      <c r="L304" s="796"/>
      <c r="M304" s="796"/>
      <c r="N304" s="796"/>
      <c r="O304" s="796"/>
      <c r="P304" s="796"/>
      <c r="Q304" s="796"/>
      <c r="R304" s="796"/>
      <c r="S304" s="796"/>
      <c r="T304" s="796"/>
      <c r="U304" s="796"/>
      <c r="V304" s="796"/>
      <c r="W304" s="796"/>
      <c r="X304" s="796"/>
      <c r="Y304" s="796"/>
      <c r="Z304" s="796"/>
      <c r="AA304" s="796"/>
      <c r="AB304" s="796"/>
      <c r="AC304" s="796"/>
      <c r="AD304" s="796"/>
      <c r="AE304" s="796"/>
      <c r="AF304" s="796"/>
      <c r="AG304" s="796"/>
      <c r="AH304" s="796"/>
      <c r="AI304" s="796"/>
      <c r="AJ304" s="796"/>
      <c r="AK304" s="796"/>
      <c r="AL304" s="796"/>
      <c r="AM304" s="796"/>
      <c r="AN304" s="796"/>
      <c r="AO304" s="796"/>
      <c r="AP304" s="796"/>
      <c r="AQ304" s="796"/>
      <c r="AR304" s="796"/>
      <c r="AS304" s="796"/>
      <c r="AT304" s="796"/>
      <c r="AU304" s="796"/>
    </row>
    <row r="305" spans="1:47" ht="13.5">
      <c r="A305" s="796"/>
      <c r="B305" s="796"/>
      <c r="C305" s="796"/>
      <c r="D305" s="796"/>
      <c r="E305" s="796"/>
      <c r="F305" s="796"/>
      <c r="G305" s="796"/>
      <c r="H305" s="796"/>
      <c r="I305" s="796"/>
      <c r="J305" s="796"/>
      <c r="K305" s="796"/>
      <c r="L305" s="796"/>
      <c r="M305" s="796"/>
      <c r="N305" s="796"/>
      <c r="O305" s="796"/>
      <c r="P305" s="796"/>
      <c r="Q305" s="796"/>
      <c r="R305" s="796"/>
      <c r="S305" s="796"/>
      <c r="T305" s="796"/>
      <c r="U305" s="796"/>
      <c r="V305" s="796"/>
      <c r="W305" s="796"/>
      <c r="X305" s="796"/>
      <c r="Y305" s="796"/>
      <c r="Z305" s="796"/>
      <c r="AA305" s="796"/>
      <c r="AB305" s="796"/>
      <c r="AC305" s="796"/>
      <c r="AD305" s="796"/>
      <c r="AE305" s="796"/>
      <c r="AF305" s="796"/>
      <c r="AG305" s="796"/>
      <c r="AH305" s="796"/>
      <c r="AI305" s="796"/>
      <c r="AJ305" s="796"/>
      <c r="AK305" s="796"/>
      <c r="AL305" s="796"/>
      <c r="AM305" s="796"/>
      <c r="AN305" s="796"/>
      <c r="AO305" s="796"/>
      <c r="AP305" s="796"/>
      <c r="AQ305" s="796"/>
      <c r="AR305" s="796"/>
      <c r="AS305" s="796"/>
      <c r="AT305" s="796"/>
      <c r="AU305" s="796"/>
    </row>
    <row r="306" spans="1:47" ht="13.5">
      <c r="A306" s="796"/>
      <c r="B306" s="796"/>
      <c r="C306" s="796"/>
      <c r="D306" s="796"/>
      <c r="E306" s="796"/>
      <c r="F306" s="796"/>
      <c r="G306" s="796"/>
      <c r="H306" s="796"/>
      <c r="I306" s="796"/>
      <c r="J306" s="796"/>
      <c r="K306" s="796"/>
      <c r="L306" s="796"/>
      <c r="M306" s="796"/>
      <c r="N306" s="796"/>
      <c r="O306" s="796"/>
      <c r="P306" s="796"/>
      <c r="Q306" s="796"/>
      <c r="R306" s="796"/>
      <c r="S306" s="796"/>
      <c r="T306" s="796"/>
      <c r="U306" s="796"/>
      <c r="V306" s="796"/>
      <c r="W306" s="796"/>
      <c r="X306" s="796"/>
      <c r="Y306" s="796"/>
      <c r="Z306" s="796"/>
      <c r="AA306" s="796"/>
      <c r="AB306" s="796"/>
      <c r="AC306" s="796"/>
      <c r="AD306" s="796"/>
      <c r="AE306" s="796"/>
      <c r="AF306" s="796"/>
      <c r="AG306" s="796"/>
      <c r="AH306" s="796"/>
      <c r="AI306" s="796"/>
      <c r="AJ306" s="796"/>
      <c r="AK306" s="796"/>
      <c r="AL306" s="796"/>
      <c r="AM306" s="796"/>
      <c r="AN306" s="796"/>
      <c r="AO306" s="796"/>
      <c r="AP306" s="796"/>
      <c r="AQ306" s="796"/>
      <c r="AR306" s="796"/>
      <c r="AS306" s="796"/>
      <c r="AT306" s="796"/>
      <c r="AU306" s="796"/>
    </row>
    <row r="307" spans="1:47" ht="13.5">
      <c r="A307" s="796"/>
      <c r="B307" s="796"/>
      <c r="C307" s="796"/>
      <c r="D307" s="796"/>
      <c r="E307" s="796"/>
      <c r="F307" s="796"/>
      <c r="G307" s="796"/>
      <c r="H307" s="796"/>
      <c r="I307" s="796"/>
      <c r="J307" s="796"/>
      <c r="K307" s="796"/>
      <c r="L307" s="796"/>
      <c r="M307" s="796"/>
      <c r="N307" s="796"/>
      <c r="O307" s="796"/>
      <c r="P307" s="796"/>
      <c r="Q307" s="796"/>
      <c r="R307" s="796"/>
      <c r="S307" s="796"/>
      <c r="T307" s="796"/>
      <c r="U307" s="796"/>
      <c r="V307" s="796"/>
      <c r="W307" s="796"/>
      <c r="X307" s="796"/>
      <c r="Y307" s="796"/>
      <c r="Z307" s="796"/>
      <c r="AA307" s="796"/>
      <c r="AB307" s="796"/>
      <c r="AC307" s="796"/>
      <c r="AD307" s="796"/>
      <c r="AE307" s="796"/>
      <c r="AF307" s="796"/>
      <c r="AG307" s="796"/>
      <c r="AH307" s="796"/>
      <c r="AI307" s="796"/>
      <c r="AJ307" s="796"/>
      <c r="AK307" s="796"/>
      <c r="AL307" s="796"/>
      <c r="AM307" s="796"/>
      <c r="AN307" s="796"/>
      <c r="AO307" s="796"/>
      <c r="AP307" s="796"/>
      <c r="AQ307" s="796"/>
      <c r="AR307" s="796"/>
      <c r="AS307" s="796"/>
      <c r="AT307" s="796"/>
      <c r="AU307" s="796"/>
    </row>
    <row r="308" spans="1:47" ht="13.5">
      <c r="A308" s="796"/>
      <c r="B308" s="796"/>
      <c r="C308" s="796"/>
      <c r="D308" s="796"/>
      <c r="E308" s="796"/>
      <c r="F308" s="796"/>
      <c r="G308" s="796"/>
      <c r="H308" s="796"/>
      <c r="I308" s="796"/>
      <c r="J308" s="796"/>
      <c r="K308" s="796"/>
      <c r="L308" s="796"/>
      <c r="M308" s="796"/>
      <c r="N308" s="796"/>
      <c r="O308" s="796"/>
      <c r="P308" s="796"/>
      <c r="Q308" s="796"/>
      <c r="R308" s="796"/>
      <c r="S308" s="796"/>
      <c r="T308" s="796"/>
      <c r="U308" s="796"/>
      <c r="V308" s="796"/>
      <c r="W308" s="796"/>
      <c r="X308" s="796"/>
      <c r="Y308" s="796"/>
      <c r="Z308" s="796"/>
      <c r="AA308" s="796"/>
      <c r="AB308" s="796"/>
      <c r="AC308" s="796"/>
      <c r="AD308" s="796"/>
      <c r="AE308" s="796"/>
      <c r="AF308" s="796"/>
      <c r="AG308" s="796"/>
      <c r="AH308" s="796"/>
      <c r="AI308" s="796"/>
      <c r="AJ308" s="796"/>
      <c r="AK308" s="796"/>
      <c r="AL308" s="796"/>
      <c r="AM308" s="796"/>
      <c r="AN308" s="796"/>
      <c r="AO308" s="796"/>
      <c r="AP308" s="796"/>
      <c r="AQ308" s="796"/>
      <c r="AR308" s="796"/>
      <c r="AS308" s="796"/>
      <c r="AT308" s="796"/>
      <c r="AU308" s="796"/>
    </row>
    <row r="309" spans="1:47" ht="13.5">
      <c r="A309" s="796"/>
      <c r="B309" s="796"/>
      <c r="C309" s="796"/>
      <c r="D309" s="796"/>
      <c r="E309" s="796"/>
      <c r="F309" s="796"/>
      <c r="G309" s="796"/>
      <c r="H309" s="796"/>
      <c r="I309" s="796"/>
      <c r="J309" s="796"/>
      <c r="K309" s="796"/>
      <c r="L309" s="796"/>
      <c r="M309" s="796"/>
      <c r="N309" s="796"/>
      <c r="O309" s="796"/>
      <c r="P309" s="796"/>
      <c r="Q309" s="796"/>
      <c r="R309" s="796"/>
      <c r="S309" s="796"/>
      <c r="T309" s="796"/>
      <c r="U309" s="796"/>
      <c r="V309" s="796"/>
      <c r="W309" s="796"/>
      <c r="X309" s="796"/>
      <c r="Y309" s="796"/>
      <c r="Z309" s="796"/>
      <c r="AA309" s="796"/>
      <c r="AB309" s="796"/>
      <c r="AC309" s="796"/>
      <c r="AD309" s="796"/>
      <c r="AE309" s="796"/>
      <c r="AF309" s="796"/>
      <c r="AG309" s="796"/>
      <c r="AH309" s="796"/>
      <c r="AI309" s="796"/>
      <c r="AJ309" s="796"/>
      <c r="AK309" s="796"/>
      <c r="AL309" s="796"/>
      <c r="AM309" s="796"/>
      <c r="AN309" s="796"/>
      <c r="AO309" s="796"/>
      <c r="AP309" s="796"/>
      <c r="AQ309" s="796"/>
      <c r="AR309" s="796"/>
      <c r="AS309" s="796"/>
      <c r="AT309" s="796"/>
      <c r="AU309" s="796"/>
    </row>
    <row r="310" spans="1:47" ht="13.5">
      <c r="A310" s="796"/>
      <c r="B310" s="796"/>
      <c r="C310" s="796"/>
      <c r="D310" s="796"/>
      <c r="E310" s="796"/>
      <c r="F310" s="796"/>
      <c r="G310" s="796"/>
      <c r="H310" s="796"/>
      <c r="I310" s="796"/>
      <c r="J310" s="796"/>
      <c r="K310" s="796"/>
      <c r="L310" s="796"/>
      <c r="M310" s="796"/>
      <c r="N310" s="796"/>
      <c r="O310" s="796"/>
      <c r="P310" s="796"/>
      <c r="Q310" s="796"/>
      <c r="R310" s="796"/>
      <c r="S310" s="796"/>
      <c r="T310" s="796"/>
      <c r="U310" s="796"/>
      <c r="V310" s="796"/>
      <c r="W310" s="796"/>
      <c r="X310" s="796"/>
      <c r="Y310" s="796"/>
      <c r="Z310" s="796"/>
      <c r="AA310" s="796"/>
      <c r="AB310" s="796"/>
      <c r="AC310" s="796"/>
      <c r="AD310" s="796"/>
      <c r="AE310" s="796"/>
      <c r="AF310" s="796"/>
      <c r="AG310" s="796"/>
      <c r="AH310" s="796"/>
      <c r="AI310" s="796"/>
      <c r="AJ310" s="796"/>
      <c r="AK310" s="796"/>
      <c r="AL310" s="796"/>
      <c r="AM310" s="796"/>
      <c r="AN310" s="796"/>
      <c r="AO310" s="796"/>
      <c r="AP310" s="796"/>
      <c r="AQ310" s="796"/>
      <c r="AR310" s="796"/>
      <c r="AS310" s="796"/>
      <c r="AT310" s="796"/>
      <c r="AU310" s="796"/>
    </row>
    <row r="311" spans="1:47" ht="13.5">
      <c r="A311" s="796"/>
      <c r="B311" s="796"/>
      <c r="C311" s="796"/>
      <c r="D311" s="796"/>
      <c r="E311" s="796"/>
      <c r="F311" s="796"/>
      <c r="G311" s="796"/>
      <c r="H311" s="796"/>
      <c r="I311" s="796"/>
      <c r="J311" s="796"/>
      <c r="K311" s="796"/>
      <c r="L311" s="796"/>
      <c r="M311" s="796"/>
      <c r="N311" s="796"/>
      <c r="O311" s="796"/>
      <c r="P311" s="796"/>
      <c r="Q311" s="796"/>
      <c r="R311" s="796"/>
      <c r="S311" s="796"/>
      <c r="T311" s="796"/>
      <c r="U311" s="796"/>
      <c r="V311" s="796"/>
      <c r="W311" s="796"/>
      <c r="X311" s="796"/>
      <c r="Y311" s="796"/>
      <c r="Z311" s="796"/>
      <c r="AA311" s="796"/>
      <c r="AB311" s="796"/>
      <c r="AC311" s="796"/>
      <c r="AD311" s="796"/>
      <c r="AE311" s="796"/>
      <c r="AF311" s="796"/>
      <c r="AG311" s="796"/>
      <c r="AH311" s="796"/>
      <c r="AI311" s="796"/>
      <c r="AJ311" s="796"/>
      <c r="AK311" s="796"/>
      <c r="AL311" s="796"/>
      <c r="AM311" s="796"/>
      <c r="AN311" s="796"/>
      <c r="AO311" s="796"/>
      <c r="AP311" s="796"/>
      <c r="AQ311" s="796"/>
      <c r="AR311" s="796"/>
      <c r="AS311" s="796"/>
      <c r="AT311" s="796"/>
      <c r="AU311" s="796"/>
    </row>
    <row r="312" spans="1:47" ht="13.5">
      <c r="A312" s="796"/>
      <c r="B312" s="796"/>
      <c r="C312" s="796"/>
      <c r="D312" s="796"/>
      <c r="E312" s="796"/>
      <c r="F312" s="796"/>
      <c r="G312" s="796"/>
      <c r="H312" s="796"/>
      <c r="I312" s="796"/>
      <c r="J312" s="796"/>
      <c r="K312" s="796"/>
      <c r="L312" s="796"/>
      <c r="M312" s="796"/>
      <c r="N312" s="796"/>
      <c r="O312" s="796"/>
      <c r="P312" s="796"/>
      <c r="Q312" s="796"/>
      <c r="R312" s="796"/>
      <c r="S312" s="796"/>
      <c r="T312" s="796"/>
      <c r="U312" s="796"/>
      <c r="V312" s="796"/>
      <c r="W312" s="796"/>
      <c r="X312" s="796"/>
      <c r="Y312" s="796"/>
      <c r="Z312" s="796"/>
      <c r="AA312" s="796"/>
      <c r="AB312" s="796"/>
      <c r="AC312" s="796"/>
      <c r="AD312" s="796"/>
      <c r="AE312" s="796"/>
      <c r="AF312" s="796"/>
      <c r="AG312" s="796"/>
      <c r="AH312" s="796"/>
      <c r="AI312" s="796"/>
      <c r="AJ312" s="796"/>
      <c r="AK312" s="796"/>
      <c r="AL312" s="796"/>
      <c r="AM312" s="796"/>
      <c r="AN312" s="796"/>
      <c r="AO312" s="796"/>
      <c r="AP312" s="796"/>
      <c r="AQ312" s="796"/>
      <c r="AR312" s="796"/>
      <c r="AS312" s="796"/>
      <c r="AT312" s="796"/>
      <c r="AU312" s="796"/>
    </row>
    <row r="313" spans="1:47" ht="13.5">
      <c r="A313" s="796"/>
      <c r="B313" s="796"/>
      <c r="C313" s="796"/>
      <c r="D313" s="796"/>
      <c r="E313" s="796"/>
      <c r="F313" s="796"/>
      <c r="G313" s="796"/>
      <c r="H313" s="796"/>
      <c r="I313" s="796"/>
      <c r="J313" s="796"/>
      <c r="K313" s="796"/>
      <c r="L313" s="796"/>
      <c r="M313" s="796"/>
      <c r="N313" s="796"/>
      <c r="O313" s="796"/>
      <c r="P313" s="796"/>
      <c r="Q313" s="796"/>
      <c r="R313" s="796"/>
      <c r="S313" s="796"/>
      <c r="T313" s="796"/>
      <c r="U313" s="796"/>
      <c r="V313" s="796"/>
      <c r="W313" s="796"/>
      <c r="X313" s="796"/>
      <c r="Y313" s="796"/>
      <c r="Z313" s="796"/>
      <c r="AA313" s="796"/>
      <c r="AB313" s="796"/>
      <c r="AC313" s="796"/>
      <c r="AD313" s="796"/>
      <c r="AE313" s="796"/>
      <c r="AF313" s="796"/>
      <c r="AG313" s="796"/>
      <c r="AH313" s="796"/>
      <c r="AI313" s="796"/>
      <c r="AJ313" s="796"/>
      <c r="AK313" s="796"/>
      <c r="AL313" s="796"/>
      <c r="AM313" s="796"/>
      <c r="AN313" s="796"/>
      <c r="AO313" s="796"/>
      <c r="AP313" s="796"/>
      <c r="AQ313" s="796"/>
      <c r="AR313" s="796"/>
      <c r="AS313" s="796"/>
      <c r="AT313" s="796"/>
      <c r="AU313" s="796"/>
    </row>
    <row r="314" spans="1:47" ht="13.5">
      <c r="A314" s="796"/>
      <c r="B314" s="796"/>
      <c r="C314" s="796"/>
      <c r="D314" s="796"/>
      <c r="E314" s="796"/>
      <c r="F314" s="796"/>
      <c r="G314" s="796"/>
      <c r="H314" s="796"/>
      <c r="I314" s="796"/>
      <c r="J314" s="796"/>
      <c r="K314" s="796"/>
      <c r="L314" s="796"/>
      <c r="M314" s="796"/>
      <c r="N314" s="796"/>
      <c r="O314" s="796"/>
      <c r="P314" s="796"/>
      <c r="Q314" s="796"/>
      <c r="R314" s="796"/>
      <c r="S314" s="796"/>
      <c r="T314" s="796"/>
      <c r="U314" s="796"/>
      <c r="V314" s="796"/>
      <c r="W314" s="796"/>
      <c r="X314" s="796"/>
      <c r="Y314" s="796"/>
      <c r="Z314" s="796"/>
      <c r="AA314" s="796"/>
      <c r="AB314" s="796"/>
      <c r="AC314" s="796"/>
      <c r="AD314" s="796"/>
      <c r="AE314" s="796"/>
      <c r="AF314" s="796"/>
      <c r="AG314" s="796"/>
      <c r="AH314" s="796"/>
      <c r="AI314" s="796"/>
      <c r="AJ314" s="796"/>
      <c r="AK314" s="796"/>
      <c r="AL314" s="796"/>
      <c r="AM314" s="796"/>
      <c r="AN314" s="796"/>
      <c r="AO314" s="796"/>
      <c r="AP314" s="796"/>
      <c r="AQ314" s="796"/>
      <c r="AR314" s="796"/>
      <c r="AS314" s="796"/>
      <c r="AT314" s="796"/>
      <c r="AU314" s="796"/>
    </row>
    <row r="315" spans="1:47" ht="13.5">
      <c r="A315" s="796"/>
      <c r="B315" s="796"/>
      <c r="C315" s="796"/>
      <c r="D315" s="796"/>
      <c r="E315" s="796"/>
      <c r="F315" s="796"/>
      <c r="G315" s="796"/>
      <c r="H315" s="796"/>
      <c r="I315" s="796"/>
      <c r="J315" s="796"/>
      <c r="K315" s="796"/>
      <c r="L315" s="796"/>
      <c r="M315" s="796"/>
      <c r="N315" s="796"/>
      <c r="O315" s="796"/>
      <c r="P315" s="796"/>
      <c r="Q315" s="796"/>
      <c r="R315" s="796"/>
      <c r="S315" s="796"/>
      <c r="T315" s="796"/>
      <c r="U315" s="796"/>
      <c r="V315" s="796"/>
      <c r="W315" s="796"/>
      <c r="X315" s="796"/>
      <c r="Y315" s="796"/>
      <c r="Z315" s="796"/>
      <c r="AA315" s="796"/>
      <c r="AB315" s="796"/>
      <c r="AC315" s="796"/>
      <c r="AD315" s="796"/>
      <c r="AE315" s="796"/>
      <c r="AF315" s="796"/>
      <c r="AG315" s="796"/>
      <c r="AH315" s="796"/>
      <c r="AI315" s="796"/>
      <c r="AJ315" s="796"/>
      <c r="AK315" s="796"/>
      <c r="AL315" s="796"/>
      <c r="AM315" s="796"/>
      <c r="AN315" s="796"/>
      <c r="AO315" s="796"/>
      <c r="AP315" s="796"/>
      <c r="AQ315" s="796"/>
      <c r="AR315" s="796"/>
      <c r="AS315" s="796"/>
      <c r="AT315" s="796"/>
      <c r="AU315" s="796"/>
    </row>
    <row r="316" spans="1:47" ht="13.5">
      <c r="A316" s="796"/>
      <c r="B316" s="796"/>
      <c r="C316" s="796"/>
      <c r="D316" s="796"/>
      <c r="E316" s="796"/>
      <c r="F316" s="796"/>
      <c r="G316" s="796"/>
      <c r="H316" s="796"/>
      <c r="I316" s="796"/>
      <c r="J316" s="796"/>
      <c r="K316" s="796"/>
      <c r="L316" s="796"/>
      <c r="M316" s="796"/>
      <c r="N316" s="796"/>
      <c r="O316" s="796"/>
      <c r="P316" s="796"/>
      <c r="Q316" s="796"/>
      <c r="R316" s="796"/>
      <c r="S316" s="796"/>
      <c r="T316" s="796"/>
      <c r="U316" s="796"/>
      <c r="V316" s="796"/>
      <c r="W316" s="796"/>
      <c r="X316" s="796"/>
      <c r="Y316" s="796"/>
      <c r="Z316" s="796"/>
      <c r="AA316" s="796"/>
      <c r="AB316" s="796"/>
      <c r="AC316" s="796"/>
      <c r="AD316" s="796"/>
      <c r="AE316" s="796"/>
      <c r="AF316" s="796"/>
      <c r="AG316" s="796"/>
      <c r="AH316" s="796"/>
      <c r="AI316" s="796"/>
      <c r="AJ316" s="796"/>
      <c r="AK316" s="796"/>
      <c r="AL316" s="796"/>
      <c r="AM316" s="796"/>
      <c r="AN316" s="796"/>
      <c r="AO316" s="796"/>
      <c r="AP316" s="796"/>
      <c r="AQ316" s="796"/>
      <c r="AR316" s="796"/>
      <c r="AS316" s="796"/>
      <c r="AT316" s="796"/>
      <c r="AU316" s="796"/>
    </row>
    <row r="317" spans="1:47" ht="13.5">
      <c r="A317" s="796"/>
      <c r="B317" s="796"/>
      <c r="C317" s="796"/>
      <c r="D317" s="796"/>
      <c r="E317" s="796"/>
      <c r="F317" s="796"/>
      <c r="G317" s="796"/>
      <c r="H317" s="796"/>
      <c r="I317" s="796"/>
      <c r="J317" s="796"/>
      <c r="K317" s="796"/>
      <c r="L317" s="796"/>
      <c r="M317" s="796"/>
      <c r="N317" s="796"/>
      <c r="O317" s="796"/>
      <c r="P317" s="796"/>
      <c r="Q317" s="796"/>
      <c r="R317" s="796"/>
      <c r="S317" s="796"/>
      <c r="T317" s="796"/>
      <c r="U317" s="796"/>
      <c r="V317" s="796"/>
      <c r="W317" s="796"/>
      <c r="X317" s="796"/>
      <c r="Y317" s="796"/>
      <c r="Z317" s="796"/>
      <c r="AA317" s="796"/>
      <c r="AB317" s="796"/>
      <c r="AC317" s="796"/>
      <c r="AD317" s="796"/>
      <c r="AE317" s="796"/>
      <c r="AF317" s="796"/>
      <c r="AG317" s="796"/>
      <c r="AH317" s="796"/>
      <c r="AI317" s="796"/>
      <c r="AJ317" s="796"/>
      <c r="AK317" s="796"/>
      <c r="AL317" s="796"/>
      <c r="AM317" s="796"/>
      <c r="AN317" s="796"/>
      <c r="AO317" s="796"/>
      <c r="AP317" s="796"/>
      <c r="AQ317" s="796"/>
      <c r="AR317" s="796"/>
      <c r="AS317" s="796"/>
      <c r="AT317" s="796"/>
      <c r="AU317" s="796"/>
    </row>
    <row r="318" spans="1:47" ht="13.5">
      <c r="A318" s="796"/>
      <c r="B318" s="796"/>
      <c r="C318" s="796"/>
      <c r="D318" s="796"/>
      <c r="E318" s="796"/>
      <c r="F318" s="796"/>
      <c r="G318" s="796"/>
      <c r="H318" s="796"/>
      <c r="I318" s="796"/>
      <c r="J318" s="796"/>
      <c r="K318" s="796"/>
      <c r="L318" s="796"/>
      <c r="M318" s="796"/>
      <c r="N318" s="796"/>
      <c r="O318" s="796"/>
      <c r="P318" s="796"/>
      <c r="Q318" s="796"/>
      <c r="R318" s="796"/>
      <c r="S318" s="796"/>
      <c r="T318" s="796"/>
      <c r="U318" s="796"/>
      <c r="V318" s="796"/>
      <c r="W318" s="796"/>
      <c r="X318" s="796"/>
      <c r="Y318" s="796"/>
      <c r="Z318" s="796"/>
      <c r="AA318" s="796"/>
      <c r="AB318" s="796"/>
      <c r="AC318" s="796"/>
      <c r="AD318" s="796"/>
      <c r="AE318" s="796"/>
      <c r="AF318" s="796"/>
      <c r="AG318" s="796"/>
      <c r="AH318" s="796"/>
      <c r="AI318" s="796"/>
      <c r="AJ318" s="796"/>
      <c r="AK318" s="796"/>
      <c r="AL318" s="796"/>
      <c r="AM318" s="796"/>
      <c r="AN318" s="796"/>
      <c r="AO318" s="796"/>
      <c r="AP318" s="796"/>
      <c r="AQ318" s="796"/>
      <c r="AR318" s="796"/>
      <c r="AS318" s="796"/>
      <c r="AT318" s="796"/>
      <c r="AU318" s="796"/>
    </row>
    <row r="319" spans="1:47" ht="13.5">
      <c r="A319" s="796"/>
      <c r="B319" s="796"/>
      <c r="C319" s="796"/>
      <c r="D319" s="796"/>
      <c r="E319" s="796"/>
      <c r="F319" s="796"/>
      <c r="G319" s="796"/>
      <c r="H319" s="796"/>
      <c r="I319" s="796"/>
      <c r="J319" s="796"/>
      <c r="K319" s="796"/>
      <c r="L319" s="796"/>
      <c r="M319" s="796"/>
      <c r="N319" s="796"/>
      <c r="O319" s="796"/>
      <c r="P319" s="796"/>
      <c r="Q319" s="796"/>
      <c r="R319" s="796"/>
      <c r="S319" s="796"/>
      <c r="T319" s="796"/>
      <c r="U319" s="796"/>
      <c r="V319" s="796"/>
      <c r="W319" s="796"/>
      <c r="X319" s="796"/>
      <c r="Y319" s="796"/>
      <c r="Z319" s="796"/>
      <c r="AA319" s="796"/>
      <c r="AB319" s="796"/>
      <c r="AC319" s="796"/>
      <c r="AD319" s="796"/>
      <c r="AE319" s="796"/>
      <c r="AF319" s="796"/>
      <c r="AG319" s="796"/>
      <c r="AH319" s="796"/>
      <c r="AI319" s="796"/>
      <c r="AJ319" s="796"/>
      <c r="AK319" s="796"/>
      <c r="AL319" s="796"/>
      <c r="AM319" s="796"/>
      <c r="AN319" s="796"/>
      <c r="AO319" s="796"/>
      <c r="AP319" s="796"/>
      <c r="AQ319" s="796"/>
      <c r="AR319" s="796"/>
      <c r="AS319" s="796"/>
      <c r="AT319" s="796"/>
      <c r="AU319" s="796"/>
    </row>
    <row r="320" spans="1:47" ht="13.5">
      <c r="A320" s="796"/>
      <c r="B320" s="796"/>
      <c r="C320" s="796"/>
      <c r="D320" s="796"/>
      <c r="E320" s="796"/>
      <c r="F320" s="796"/>
      <c r="G320" s="796"/>
      <c r="H320" s="796"/>
      <c r="I320" s="796"/>
      <c r="J320" s="796"/>
      <c r="K320" s="796"/>
      <c r="L320" s="796"/>
      <c r="M320" s="796"/>
      <c r="N320" s="796"/>
      <c r="O320" s="796"/>
      <c r="P320" s="796"/>
      <c r="Q320" s="796"/>
      <c r="R320" s="796"/>
      <c r="S320" s="796"/>
      <c r="T320" s="796"/>
      <c r="U320" s="796"/>
      <c r="V320" s="796"/>
      <c r="W320" s="796"/>
      <c r="X320" s="796"/>
      <c r="Y320" s="796"/>
      <c r="Z320" s="796"/>
      <c r="AA320" s="796"/>
      <c r="AB320" s="796"/>
      <c r="AC320" s="796"/>
      <c r="AD320" s="796"/>
      <c r="AE320" s="796"/>
      <c r="AF320" s="796"/>
      <c r="AG320" s="796"/>
      <c r="AH320" s="796"/>
      <c r="AI320" s="796"/>
      <c r="AJ320" s="796"/>
      <c r="AK320" s="796"/>
      <c r="AL320" s="796"/>
      <c r="AM320" s="796"/>
      <c r="AN320" s="796"/>
      <c r="AO320" s="796"/>
      <c r="AP320" s="796"/>
      <c r="AQ320" s="796"/>
      <c r="AR320" s="796"/>
      <c r="AS320" s="796"/>
      <c r="AT320" s="796"/>
      <c r="AU320" s="796"/>
    </row>
    <row r="321" spans="1:47" ht="13.5">
      <c r="A321" s="796"/>
      <c r="B321" s="796"/>
      <c r="C321" s="796"/>
      <c r="D321" s="796"/>
      <c r="E321" s="796"/>
      <c r="F321" s="796"/>
      <c r="G321" s="796"/>
      <c r="H321" s="796"/>
      <c r="I321" s="796"/>
      <c r="J321" s="796"/>
      <c r="K321" s="796"/>
      <c r="L321" s="796"/>
      <c r="M321" s="796"/>
      <c r="N321" s="796"/>
      <c r="O321" s="796"/>
      <c r="P321" s="796"/>
      <c r="Q321" s="796"/>
      <c r="R321" s="796"/>
      <c r="S321" s="796"/>
      <c r="T321" s="796"/>
      <c r="U321" s="796"/>
      <c r="V321" s="796"/>
      <c r="W321" s="796"/>
      <c r="X321" s="796"/>
      <c r="Y321" s="796"/>
      <c r="Z321" s="796"/>
      <c r="AA321" s="796"/>
      <c r="AB321" s="796"/>
      <c r="AC321" s="796"/>
      <c r="AD321" s="796"/>
      <c r="AE321" s="796"/>
      <c r="AF321" s="796"/>
      <c r="AG321" s="796"/>
      <c r="AH321" s="796"/>
      <c r="AI321" s="796"/>
      <c r="AJ321" s="796"/>
      <c r="AK321" s="796"/>
      <c r="AL321" s="796"/>
      <c r="AM321" s="796"/>
      <c r="AN321" s="796"/>
      <c r="AO321" s="796"/>
      <c r="AP321" s="796"/>
      <c r="AQ321" s="796"/>
      <c r="AR321" s="796"/>
      <c r="AS321" s="796"/>
      <c r="AT321" s="796"/>
      <c r="AU321" s="796"/>
    </row>
    <row r="322" spans="1:47" ht="13.5">
      <c r="A322" s="796"/>
      <c r="B322" s="796"/>
      <c r="C322" s="796"/>
      <c r="D322" s="796"/>
      <c r="E322" s="796"/>
      <c r="F322" s="796"/>
      <c r="G322" s="796"/>
      <c r="H322" s="796"/>
      <c r="I322" s="796"/>
      <c r="J322" s="796"/>
      <c r="K322" s="796"/>
      <c r="L322" s="796"/>
      <c r="M322" s="796"/>
      <c r="N322" s="796"/>
      <c r="O322" s="796"/>
      <c r="P322" s="796"/>
      <c r="Q322" s="796"/>
      <c r="R322" s="796"/>
      <c r="S322" s="796"/>
      <c r="T322" s="796"/>
      <c r="U322" s="796"/>
      <c r="V322" s="796"/>
      <c r="W322" s="796"/>
      <c r="X322" s="796"/>
      <c r="Y322" s="796"/>
      <c r="Z322" s="796"/>
      <c r="AA322" s="796"/>
      <c r="AB322" s="796"/>
      <c r="AC322" s="796"/>
      <c r="AD322" s="796"/>
      <c r="AE322" s="796"/>
      <c r="AF322" s="796"/>
      <c r="AG322" s="796"/>
      <c r="AH322" s="796"/>
      <c r="AI322" s="796"/>
      <c r="AJ322" s="796"/>
      <c r="AK322" s="796"/>
      <c r="AL322" s="796"/>
      <c r="AM322" s="796"/>
      <c r="AN322" s="796"/>
      <c r="AO322" s="796"/>
      <c r="AP322" s="796"/>
      <c r="AQ322" s="796"/>
      <c r="AR322" s="796"/>
      <c r="AS322" s="796"/>
      <c r="AT322" s="796"/>
      <c r="AU322" s="796"/>
    </row>
    <row r="323" spans="1:47" ht="13.5">
      <c r="A323" s="796"/>
      <c r="B323" s="796"/>
      <c r="C323" s="796"/>
      <c r="D323" s="796"/>
      <c r="E323" s="796"/>
      <c r="F323" s="796"/>
      <c r="G323" s="796"/>
      <c r="H323" s="796"/>
      <c r="I323" s="796"/>
      <c r="J323" s="796"/>
      <c r="K323" s="796"/>
      <c r="L323" s="796"/>
      <c r="M323" s="796"/>
      <c r="N323" s="796"/>
      <c r="O323" s="796"/>
      <c r="P323" s="796"/>
      <c r="Q323" s="796"/>
      <c r="R323" s="796"/>
      <c r="S323" s="796"/>
      <c r="T323" s="796"/>
      <c r="U323" s="796"/>
      <c r="V323" s="796"/>
      <c r="W323" s="796"/>
      <c r="X323" s="796"/>
      <c r="Y323" s="796"/>
      <c r="Z323" s="796"/>
      <c r="AA323" s="796"/>
      <c r="AB323" s="796"/>
      <c r="AC323" s="796"/>
      <c r="AD323" s="796"/>
      <c r="AE323" s="796"/>
      <c r="AF323" s="796"/>
      <c r="AG323" s="796"/>
      <c r="AH323" s="796"/>
      <c r="AI323" s="796"/>
      <c r="AJ323" s="796"/>
      <c r="AK323" s="796"/>
      <c r="AL323" s="796"/>
      <c r="AM323" s="796"/>
      <c r="AN323" s="796"/>
      <c r="AO323" s="796"/>
      <c r="AP323" s="796"/>
      <c r="AQ323" s="796"/>
      <c r="AR323" s="796"/>
      <c r="AS323" s="796"/>
      <c r="AT323" s="796"/>
      <c r="AU323" s="796"/>
    </row>
    <row r="324" spans="1:47" ht="13.5">
      <c r="A324" s="796"/>
      <c r="B324" s="796"/>
      <c r="C324" s="796"/>
      <c r="D324" s="796"/>
      <c r="E324" s="796"/>
      <c r="F324" s="796"/>
      <c r="G324" s="796"/>
      <c r="H324" s="796"/>
      <c r="I324" s="796"/>
      <c r="J324" s="796"/>
      <c r="K324" s="796"/>
      <c r="L324" s="796"/>
      <c r="M324" s="796"/>
      <c r="N324" s="796"/>
      <c r="O324" s="796"/>
      <c r="P324" s="796"/>
      <c r="Q324" s="796"/>
      <c r="R324" s="796"/>
      <c r="S324" s="796"/>
      <c r="T324" s="796"/>
      <c r="U324" s="796"/>
      <c r="V324" s="796"/>
      <c r="W324" s="796"/>
      <c r="X324" s="796"/>
      <c r="Y324" s="796"/>
      <c r="Z324" s="796"/>
      <c r="AA324" s="796"/>
      <c r="AB324" s="796"/>
      <c r="AC324" s="796"/>
      <c r="AD324" s="796"/>
      <c r="AE324" s="796"/>
      <c r="AF324" s="796"/>
      <c r="AG324" s="796"/>
      <c r="AH324" s="796"/>
      <c r="AI324" s="796"/>
      <c r="AJ324" s="796"/>
      <c r="AK324" s="796"/>
      <c r="AL324" s="796"/>
      <c r="AM324" s="796"/>
      <c r="AN324" s="796"/>
      <c r="AO324" s="796"/>
      <c r="AP324" s="796"/>
      <c r="AQ324" s="796"/>
      <c r="AR324" s="796"/>
      <c r="AS324" s="796"/>
      <c r="AT324" s="796"/>
      <c r="AU324" s="796"/>
    </row>
    <row r="325" spans="1:47" ht="13.5">
      <c r="A325" s="796"/>
      <c r="B325" s="796"/>
      <c r="C325" s="796"/>
      <c r="D325" s="796"/>
      <c r="E325" s="796"/>
      <c r="F325" s="796"/>
      <c r="G325" s="796"/>
      <c r="H325" s="796"/>
      <c r="I325" s="796"/>
      <c r="J325" s="796"/>
      <c r="K325" s="796"/>
      <c r="L325" s="796"/>
      <c r="M325" s="796"/>
      <c r="N325" s="796"/>
      <c r="O325" s="796"/>
      <c r="P325" s="796"/>
      <c r="Q325" s="796"/>
      <c r="R325" s="796"/>
      <c r="S325" s="796"/>
      <c r="T325" s="796"/>
      <c r="U325" s="796"/>
      <c r="V325" s="796"/>
      <c r="W325" s="796"/>
      <c r="X325" s="796"/>
      <c r="Y325" s="796"/>
      <c r="Z325" s="796"/>
      <c r="AA325" s="796"/>
      <c r="AB325" s="796"/>
      <c r="AC325" s="796"/>
      <c r="AD325" s="796"/>
      <c r="AE325" s="796"/>
      <c r="AF325" s="796"/>
      <c r="AG325" s="796"/>
      <c r="AH325" s="796"/>
      <c r="AI325" s="796"/>
      <c r="AJ325" s="796"/>
      <c r="AK325" s="796"/>
      <c r="AL325" s="796"/>
      <c r="AM325" s="796"/>
      <c r="AN325" s="796"/>
      <c r="AO325" s="796"/>
      <c r="AP325" s="796"/>
      <c r="AQ325" s="796"/>
      <c r="AR325" s="796"/>
      <c r="AS325" s="796"/>
      <c r="AT325" s="796"/>
      <c r="AU325" s="796"/>
    </row>
    <row r="326" spans="1:47" ht="13.5">
      <c r="A326" s="796"/>
      <c r="B326" s="796"/>
      <c r="C326" s="796"/>
      <c r="D326" s="796"/>
      <c r="E326" s="796"/>
      <c r="F326" s="796"/>
      <c r="G326" s="796"/>
      <c r="H326" s="796"/>
      <c r="I326" s="796"/>
      <c r="J326" s="796"/>
      <c r="K326" s="796"/>
      <c r="L326" s="796"/>
      <c r="M326" s="796"/>
      <c r="N326" s="796"/>
      <c r="O326" s="796"/>
      <c r="P326" s="796"/>
      <c r="Q326" s="796"/>
      <c r="R326" s="796"/>
      <c r="S326" s="796"/>
      <c r="T326" s="796"/>
      <c r="U326" s="796"/>
      <c r="V326" s="796"/>
      <c r="W326" s="796"/>
      <c r="X326" s="796"/>
      <c r="Y326" s="796"/>
      <c r="Z326" s="796"/>
      <c r="AA326" s="796"/>
      <c r="AB326" s="796"/>
      <c r="AC326" s="796"/>
      <c r="AD326" s="796"/>
      <c r="AE326" s="796"/>
      <c r="AF326" s="796"/>
      <c r="AG326" s="796"/>
      <c r="AH326" s="796"/>
      <c r="AI326" s="796"/>
      <c r="AJ326" s="796"/>
      <c r="AK326" s="796"/>
      <c r="AL326" s="796"/>
      <c r="AM326" s="796"/>
      <c r="AN326" s="796"/>
      <c r="AO326" s="796"/>
      <c r="AP326" s="796"/>
      <c r="AQ326" s="796"/>
      <c r="AR326" s="796"/>
      <c r="AS326" s="796"/>
      <c r="AT326" s="796"/>
      <c r="AU326" s="796"/>
    </row>
    <row r="327" spans="1:47" ht="13.5">
      <c r="A327" s="796"/>
      <c r="B327" s="796"/>
      <c r="C327" s="796"/>
      <c r="D327" s="796"/>
      <c r="E327" s="796"/>
      <c r="F327" s="796"/>
      <c r="G327" s="796"/>
      <c r="H327" s="796"/>
      <c r="I327" s="796"/>
      <c r="J327" s="796"/>
      <c r="K327" s="796"/>
      <c r="L327" s="796"/>
      <c r="M327" s="796"/>
      <c r="N327" s="796"/>
      <c r="O327" s="796"/>
      <c r="P327" s="796"/>
      <c r="Q327" s="796"/>
      <c r="R327" s="796"/>
      <c r="S327" s="796"/>
      <c r="T327" s="796"/>
      <c r="U327" s="796"/>
      <c r="V327" s="796"/>
      <c r="W327" s="796"/>
      <c r="X327" s="796"/>
      <c r="Y327" s="796"/>
      <c r="Z327" s="796"/>
      <c r="AA327" s="796"/>
      <c r="AB327" s="796"/>
      <c r="AC327" s="796"/>
      <c r="AD327" s="796"/>
      <c r="AE327" s="796"/>
      <c r="AF327" s="796"/>
      <c r="AG327" s="796"/>
      <c r="AH327" s="796"/>
      <c r="AI327" s="796"/>
      <c r="AJ327" s="796"/>
      <c r="AK327" s="796"/>
      <c r="AL327" s="796"/>
      <c r="AM327" s="796"/>
      <c r="AN327" s="796"/>
      <c r="AO327" s="796"/>
      <c r="AP327" s="796"/>
      <c r="AQ327" s="796"/>
      <c r="AR327" s="796"/>
      <c r="AS327" s="796"/>
      <c r="AT327" s="796"/>
      <c r="AU327" s="796"/>
    </row>
    <row r="328" spans="1:47" ht="13.5">
      <c r="A328" s="796"/>
      <c r="B328" s="796"/>
      <c r="C328" s="796"/>
      <c r="D328" s="796"/>
      <c r="E328" s="796"/>
      <c r="F328" s="796"/>
      <c r="G328" s="796"/>
      <c r="H328" s="796"/>
      <c r="I328" s="796"/>
      <c r="J328" s="796"/>
      <c r="K328" s="796"/>
      <c r="L328" s="796"/>
      <c r="M328" s="796"/>
      <c r="N328" s="796"/>
      <c r="O328" s="796"/>
      <c r="P328" s="796"/>
      <c r="Q328" s="796"/>
      <c r="R328" s="796"/>
      <c r="S328" s="796"/>
      <c r="T328" s="796"/>
      <c r="U328" s="796"/>
      <c r="V328" s="796"/>
      <c r="W328" s="796"/>
      <c r="X328" s="796"/>
      <c r="Y328" s="796"/>
      <c r="Z328" s="796"/>
      <c r="AA328" s="796"/>
      <c r="AB328" s="796"/>
      <c r="AC328" s="796"/>
      <c r="AD328" s="796"/>
      <c r="AE328" s="796"/>
      <c r="AF328" s="796"/>
      <c r="AG328" s="796"/>
      <c r="AH328" s="796"/>
      <c r="AI328" s="796"/>
      <c r="AJ328" s="796"/>
      <c r="AK328" s="796"/>
      <c r="AL328" s="796"/>
      <c r="AM328" s="796"/>
      <c r="AN328" s="796"/>
      <c r="AO328" s="796"/>
      <c r="AP328" s="796"/>
      <c r="AQ328" s="796"/>
      <c r="AR328" s="796"/>
      <c r="AS328" s="796"/>
      <c r="AT328" s="796"/>
      <c r="AU328" s="796"/>
    </row>
    <row r="329" spans="1:47" ht="13.5">
      <c r="A329" s="796"/>
      <c r="B329" s="796"/>
      <c r="C329" s="796"/>
      <c r="D329" s="796"/>
      <c r="E329" s="796"/>
      <c r="F329" s="796"/>
      <c r="G329" s="796"/>
      <c r="H329" s="796"/>
      <c r="I329" s="796"/>
      <c r="J329" s="796"/>
      <c r="K329" s="796"/>
      <c r="L329" s="796"/>
      <c r="M329" s="796"/>
      <c r="N329" s="796"/>
      <c r="O329" s="796"/>
      <c r="P329" s="796"/>
      <c r="Q329" s="796"/>
      <c r="R329" s="796"/>
      <c r="S329" s="796"/>
      <c r="T329" s="796"/>
      <c r="U329" s="796"/>
      <c r="V329" s="796"/>
      <c r="W329" s="796"/>
      <c r="X329" s="796"/>
      <c r="Y329" s="796"/>
      <c r="Z329" s="796"/>
      <c r="AA329" s="796"/>
      <c r="AB329" s="796"/>
      <c r="AC329" s="796"/>
      <c r="AD329" s="796"/>
      <c r="AE329" s="796"/>
      <c r="AF329" s="796"/>
      <c r="AG329" s="796"/>
      <c r="AH329" s="796"/>
      <c r="AI329" s="796"/>
      <c r="AJ329" s="796"/>
      <c r="AK329" s="796"/>
      <c r="AL329" s="796"/>
      <c r="AM329" s="796"/>
      <c r="AN329" s="796"/>
      <c r="AO329" s="796"/>
      <c r="AP329" s="796"/>
      <c r="AQ329" s="796"/>
      <c r="AR329" s="796"/>
      <c r="AS329" s="796"/>
      <c r="AT329" s="796"/>
      <c r="AU329" s="796"/>
    </row>
    <row r="330" spans="1:47" ht="13.5">
      <c r="A330" s="796"/>
      <c r="B330" s="796"/>
      <c r="C330" s="796"/>
      <c r="D330" s="796"/>
      <c r="E330" s="796"/>
      <c r="F330" s="796"/>
      <c r="G330" s="796"/>
      <c r="H330" s="796"/>
      <c r="I330" s="796"/>
      <c r="J330" s="796"/>
      <c r="K330" s="796"/>
      <c r="L330" s="796"/>
      <c r="M330" s="796"/>
      <c r="N330" s="796"/>
      <c r="O330" s="796"/>
      <c r="P330" s="796"/>
      <c r="Q330" s="796"/>
      <c r="R330" s="796"/>
      <c r="S330" s="796"/>
      <c r="T330" s="796"/>
      <c r="U330" s="796"/>
      <c r="V330" s="796"/>
      <c r="W330" s="796"/>
      <c r="X330" s="796"/>
      <c r="Y330" s="796"/>
      <c r="Z330" s="796"/>
      <c r="AA330" s="796"/>
      <c r="AB330" s="796"/>
      <c r="AC330" s="796"/>
      <c r="AD330" s="796"/>
      <c r="AE330" s="796"/>
      <c r="AF330" s="796"/>
      <c r="AG330" s="796"/>
      <c r="AH330" s="796"/>
      <c r="AI330" s="796"/>
      <c r="AJ330" s="796"/>
      <c r="AK330" s="796"/>
      <c r="AL330" s="796"/>
      <c r="AM330" s="796"/>
      <c r="AN330" s="796"/>
      <c r="AO330" s="796"/>
      <c r="AP330" s="796"/>
      <c r="AQ330" s="796"/>
      <c r="AR330" s="796"/>
      <c r="AS330" s="796"/>
      <c r="AT330" s="796"/>
      <c r="AU330" s="796"/>
    </row>
    <row r="331" spans="1:47" ht="13.5">
      <c r="A331" s="796"/>
      <c r="B331" s="796"/>
      <c r="C331" s="796"/>
      <c r="D331" s="796"/>
      <c r="E331" s="796"/>
      <c r="F331" s="796"/>
      <c r="G331" s="796"/>
      <c r="H331" s="796"/>
      <c r="I331" s="796"/>
      <c r="J331" s="796"/>
      <c r="K331" s="796"/>
      <c r="L331" s="796"/>
      <c r="M331" s="796"/>
      <c r="N331" s="796"/>
      <c r="O331" s="796"/>
      <c r="P331" s="796"/>
      <c r="Q331" s="796"/>
      <c r="R331" s="796"/>
      <c r="S331" s="796"/>
      <c r="T331" s="796"/>
      <c r="U331" s="796"/>
      <c r="V331" s="796"/>
      <c r="W331" s="796"/>
      <c r="X331" s="796"/>
      <c r="Y331" s="796"/>
      <c r="Z331" s="796"/>
      <c r="AA331" s="796"/>
      <c r="AB331" s="796"/>
      <c r="AC331" s="796"/>
      <c r="AD331" s="796"/>
      <c r="AE331" s="796"/>
      <c r="AF331" s="796"/>
      <c r="AG331" s="796"/>
      <c r="AH331" s="796"/>
      <c r="AI331" s="796"/>
      <c r="AJ331" s="796"/>
      <c r="AK331" s="796"/>
      <c r="AL331" s="796"/>
      <c r="AM331" s="796"/>
      <c r="AN331" s="796"/>
      <c r="AO331" s="796"/>
      <c r="AP331" s="796"/>
      <c r="AQ331" s="796"/>
      <c r="AR331" s="796"/>
      <c r="AS331" s="796"/>
      <c r="AT331" s="796"/>
      <c r="AU331" s="796"/>
    </row>
    <row r="332" spans="1:47" ht="13.5">
      <c r="A332" s="796"/>
      <c r="B332" s="796"/>
      <c r="C332" s="796"/>
      <c r="D332" s="796"/>
      <c r="E332" s="796"/>
      <c r="F332" s="796"/>
      <c r="G332" s="796"/>
      <c r="H332" s="796"/>
      <c r="I332" s="796"/>
      <c r="J332" s="796"/>
      <c r="K332" s="796"/>
      <c r="L332" s="796"/>
      <c r="M332" s="796"/>
      <c r="N332" s="796"/>
      <c r="O332" s="796"/>
      <c r="P332" s="796"/>
      <c r="Q332" s="796"/>
      <c r="R332" s="796"/>
      <c r="S332" s="796"/>
      <c r="T332" s="796"/>
      <c r="U332" s="796"/>
      <c r="V332" s="796"/>
      <c r="W332" s="796"/>
      <c r="X332" s="796"/>
      <c r="Y332" s="796"/>
      <c r="Z332" s="796"/>
      <c r="AA332" s="796"/>
      <c r="AB332" s="796"/>
      <c r="AC332" s="796"/>
      <c r="AD332" s="796"/>
      <c r="AE332" s="796"/>
      <c r="AF332" s="796"/>
      <c r="AG332" s="796"/>
      <c r="AH332" s="796"/>
      <c r="AI332" s="796"/>
      <c r="AJ332" s="796"/>
      <c r="AK332" s="796"/>
      <c r="AL332" s="796"/>
      <c r="AM332" s="796"/>
      <c r="AN332" s="796"/>
      <c r="AO332" s="796"/>
      <c r="AP332" s="796"/>
      <c r="AQ332" s="796"/>
      <c r="AR332" s="796"/>
      <c r="AS332" s="796"/>
      <c r="AT332" s="796"/>
      <c r="AU332" s="796"/>
    </row>
    <row r="333" spans="1:47" ht="13.5">
      <c r="A333" s="796"/>
      <c r="B333" s="796"/>
      <c r="C333" s="796"/>
      <c r="D333" s="796"/>
      <c r="E333" s="796"/>
      <c r="F333" s="796"/>
      <c r="G333" s="796"/>
      <c r="H333" s="796"/>
      <c r="I333" s="796"/>
      <c r="J333" s="796"/>
      <c r="K333" s="796"/>
      <c r="L333" s="796"/>
      <c r="M333" s="796"/>
      <c r="N333" s="796"/>
      <c r="O333" s="796"/>
      <c r="P333" s="796"/>
      <c r="Q333" s="796"/>
      <c r="R333" s="796"/>
      <c r="S333" s="796"/>
      <c r="T333" s="796"/>
      <c r="U333" s="796"/>
      <c r="V333" s="796"/>
      <c r="W333" s="796"/>
      <c r="X333" s="796"/>
      <c r="Y333" s="796"/>
      <c r="Z333" s="796"/>
      <c r="AA333" s="796"/>
      <c r="AB333" s="796"/>
      <c r="AC333" s="796"/>
      <c r="AD333" s="796"/>
      <c r="AE333" s="796"/>
      <c r="AF333" s="796"/>
      <c r="AG333" s="796"/>
      <c r="AH333" s="796"/>
      <c r="AI333" s="796"/>
      <c r="AJ333" s="796"/>
      <c r="AK333" s="796"/>
      <c r="AL333" s="796"/>
      <c r="AM333" s="796"/>
      <c r="AN333" s="796"/>
      <c r="AO333" s="796"/>
      <c r="AP333" s="796"/>
      <c r="AQ333" s="796"/>
      <c r="AR333" s="796"/>
      <c r="AS333" s="796"/>
      <c r="AT333" s="796"/>
      <c r="AU333" s="796"/>
    </row>
    <row r="334" spans="1:47" ht="13.5">
      <c r="A334" s="796"/>
      <c r="B334" s="796"/>
      <c r="C334" s="796"/>
      <c r="D334" s="796"/>
      <c r="E334" s="796"/>
      <c r="F334" s="796"/>
      <c r="G334" s="796"/>
      <c r="H334" s="796"/>
      <c r="I334" s="796"/>
      <c r="J334" s="796"/>
      <c r="K334" s="796"/>
      <c r="L334" s="796"/>
      <c r="M334" s="796"/>
      <c r="N334" s="796"/>
      <c r="O334" s="796"/>
      <c r="P334" s="796"/>
      <c r="Q334" s="796"/>
      <c r="R334" s="796"/>
      <c r="S334" s="796"/>
      <c r="T334" s="796"/>
      <c r="U334" s="796"/>
      <c r="V334" s="796"/>
      <c r="W334" s="796"/>
      <c r="X334" s="796"/>
      <c r="Y334" s="796"/>
      <c r="Z334" s="796"/>
      <c r="AA334" s="796"/>
      <c r="AB334" s="796"/>
      <c r="AC334" s="796"/>
      <c r="AD334" s="796"/>
      <c r="AE334" s="796"/>
      <c r="AF334" s="796"/>
      <c r="AG334" s="796"/>
      <c r="AH334" s="796"/>
      <c r="AI334" s="796"/>
      <c r="AJ334" s="796"/>
      <c r="AK334" s="796"/>
      <c r="AL334" s="796"/>
      <c r="AM334" s="796"/>
      <c r="AN334" s="796"/>
      <c r="AO334" s="796"/>
      <c r="AP334" s="796"/>
      <c r="AQ334" s="796"/>
      <c r="AR334" s="796"/>
      <c r="AS334" s="796"/>
      <c r="AT334" s="796"/>
      <c r="AU334" s="796"/>
    </row>
    <row r="335" spans="1:47" ht="13.5">
      <c r="A335" s="796"/>
      <c r="B335" s="796"/>
      <c r="C335" s="796"/>
      <c r="D335" s="796"/>
      <c r="E335" s="796"/>
      <c r="F335" s="796"/>
      <c r="G335" s="796"/>
      <c r="H335" s="796"/>
      <c r="I335" s="796"/>
      <c r="J335" s="796"/>
      <c r="K335" s="796"/>
      <c r="L335" s="796"/>
      <c r="M335" s="796"/>
      <c r="N335" s="796"/>
      <c r="O335" s="796"/>
      <c r="P335" s="796"/>
      <c r="Q335" s="796"/>
      <c r="R335" s="796"/>
      <c r="S335" s="796"/>
      <c r="T335" s="796"/>
      <c r="U335" s="796"/>
      <c r="V335" s="796"/>
      <c r="W335" s="796"/>
      <c r="X335" s="796"/>
      <c r="Y335" s="796"/>
      <c r="Z335" s="796"/>
      <c r="AA335" s="796"/>
      <c r="AB335" s="796"/>
      <c r="AC335" s="796"/>
      <c r="AD335" s="796"/>
      <c r="AE335" s="796"/>
      <c r="AF335" s="796"/>
      <c r="AG335" s="796"/>
      <c r="AH335" s="796"/>
      <c r="AI335" s="796"/>
      <c r="AJ335" s="796"/>
      <c r="AK335" s="796"/>
      <c r="AL335" s="796"/>
      <c r="AM335" s="796"/>
      <c r="AN335" s="796"/>
      <c r="AO335" s="796"/>
      <c r="AP335" s="796"/>
      <c r="AQ335" s="796"/>
      <c r="AR335" s="796"/>
      <c r="AS335" s="796"/>
      <c r="AT335" s="796"/>
      <c r="AU335" s="796"/>
    </row>
    <row r="336" spans="1:47" ht="13.5">
      <c r="A336" s="796"/>
      <c r="B336" s="796"/>
      <c r="C336" s="796"/>
      <c r="D336" s="796"/>
      <c r="E336" s="796"/>
      <c r="F336" s="796"/>
      <c r="G336" s="796"/>
      <c r="H336" s="796"/>
      <c r="I336" s="796"/>
      <c r="J336" s="796"/>
      <c r="K336" s="796"/>
      <c r="L336" s="796"/>
      <c r="M336" s="796"/>
      <c r="N336" s="796"/>
      <c r="O336" s="796"/>
      <c r="P336" s="796"/>
      <c r="Q336" s="796"/>
      <c r="R336" s="796"/>
      <c r="S336" s="796"/>
      <c r="T336" s="796"/>
      <c r="U336" s="796"/>
      <c r="V336" s="796"/>
      <c r="W336" s="796"/>
      <c r="X336" s="796"/>
      <c r="Y336" s="796"/>
      <c r="Z336" s="796"/>
      <c r="AA336" s="796"/>
      <c r="AB336" s="796"/>
      <c r="AC336" s="796"/>
      <c r="AD336" s="796"/>
      <c r="AE336" s="796"/>
      <c r="AF336" s="796"/>
      <c r="AG336" s="796"/>
      <c r="AH336" s="796"/>
      <c r="AI336" s="796"/>
      <c r="AJ336" s="796"/>
      <c r="AK336" s="796"/>
      <c r="AL336" s="796"/>
      <c r="AM336" s="796"/>
      <c r="AN336" s="796"/>
      <c r="AO336" s="796"/>
      <c r="AP336" s="796"/>
      <c r="AQ336" s="796"/>
      <c r="AR336" s="796"/>
      <c r="AS336" s="796"/>
      <c r="AT336" s="796"/>
      <c r="AU336" s="796"/>
    </row>
    <row r="337" spans="1:47" ht="13.5">
      <c r="A337" s="796"/>
      <c r="B337" s="796"/>
      <c r="C337" s="796"/>
      <c r="D337" s="796"/>
      <c r="E337" s="796"/>
      <c r="F337" s="796"/>
      <c r="G337" s="796"/>
      <c r="H337" s="796"/>
      <c r="I337" s="796"/>
      <c r="J337" s="796"/>
      <c r="K337" s="796"/>
      <c r="L337" s="796"/>
      <c r="M337" s="796"/>
      <c r="N337" s="796"/>
      <c r="O337" s="796"/>
      <c r="P337" s="796"/>
      <c r="Q337" s="796"/>
      <c r="R337" s="796"/>
      <c r="S337" s="796"/>
      <c r="T337" s="796"/>
      <c r="U337" s="796"/>
      <c r="V337" s="796"/>
      <c r="W337" s="796"/>
      <c r="X337" s="796"/>
      <c r="Y337" s="796"/>
      <c r="Z337" s="796"/>
      <c r="AA337" s="796"/>
      <c r="AB337" s="796"/>
      <c r="AC337" s="796"/>
      <c r="AD337" s="796"/>
      <c r="AE337" s="796"/>
      <c r="AF337" s="796"/>
      <c r="AG337" s="796"/>
      <c r="AH337" s="796"/>
      <c r="AI337" s="796"/>
      <c r="AJ337" s="796"/>
      <c r="AK337" s="796"/>
      <c r="AL337" s="796"/>
      <c r="AM337" s="796"/>
      <c r="AN337" s="796"/>
      <c r="AO337" s="796"/>
      <c r="AP337" s="796"/>
      <c r="AQ337" s="796"/>
      <c r="AR337" s="796"/>
      <c r="AS337" s="796"/>
      <c r="AT337" s="796"/>
      <c r="AU337" s="796"/>
    </row>
    <row r="338" spans="1:47" ht="13.5">
      <c r="A338" s="796"/>
      <c r="B338" s="796"/>
      <c r="C338" s="796"/>
      <c r="D338" s="796"/>
      <c r="E338" s="796"/>
      <c r="F338" s="796"/>
      <c r="G338" s="796"/>
      <c r="H338" s="796"/>
      <c r="I338" s="796"/>
      <c r="J338" s="796"/>
      <c r="K338" s="796"/>
      <c r="L338" s="796"/>
      <c r="M338" s="796"/>
      <c r="N338" s="796"/>
      <c r="O338" s="796"/>
      <c r="P338" s="796"/>
      <c r="Q338" s="796"/>
      <c r="R338" s="796"/>
      <c r="S338" s="796"/>
      <c r="T338" s="796"/>
      <c r="U338" s="796"/>
      <c r="V338" s="796"/>
      <c r="W338" s="796"/>
      <c r="X338" s="796"/>
      <c r="Y338" s="796"/>
      <c r="Z338" s="796"/>
      <c r="AA338" s="796"/>
      <c r="AB338" s="796"/>
      <c r="AC338" s="796"/>
      <c r="AD338" s="796"/>
      <c r="AE338" s="796"/>
      <c r="AF338" s="796"/>
      <c r="AG338" s="796"/>
      <c r="AH338" s="796"/>
      <c r="AI338" s="796"/>
      <c r="AJ338" s="796"/>
      <c r="AK338" s="796"/>
      <c r="AL338" s="796"/>
      <c r="AM338" s="796"/>
      <c r="AN338" s="796"/>
      <c r="AO338" s="796"/>
      <c r="AP338" s="796"/>
      <c r="AQ338" s="796"/>
      <c r="AR338" s="796"/>
      <c r="AS338" s="796"/>
      <c r="AT338" s="796"/>
      <c r="AU338" s="796"/>
    </row>
    <row r="339" spans="1:47" ht="13.5">
      <c r="A339" s="796"/>
      <c r="B339" s="796"/>
      <c r="C339" s="796"/>
      <c r="D339" s="796"/>
      <c r="E339" s="796"/>
      <c r="F339" s="796"/>
      <c r="G339" s="796"/>
      <c r="H339" s="796"/>
      <c r="I339" s="796"/>
      <c r="J339" s="796"/>
      <c r="K339" s="796"/>
      <c r="L339" s="796"/>
      <c r="M339" s="796"/>
      <c r="N339" s="796"/>
      <c r="O339" s="796"/>
      <c r="P339" s="796"/>
      <c r="Q339" s="796"/>
      <c r="R339" s="796"/>
      <c r="S339" s="796"/>
      <c r="T339" s="796"/>
      <c r="U339" s="796"/>
      <c r="V339" s="796"/>
      <c r="W339" s="796"/>
      <c r="X339" s="796"/>
      <c r="Y339" s="796"/>
      <c r="Z339" s="796"/>
      <c r="AA339" s="796"/>
      <c r="AB339" s="796"/>
      <c r="AC339" s="796"/>
      <c r="AD339" s="796"/>
      <c r="AE339" s="796"/>
      <c r="AF339" s="796"/>
      <c r="AG339" s="796"/>
      <c r="AH339" s="796"/>
      <c r="AI339" s="796"/>
      <c r="AJ339" s="796"/>
      <c r="AK339" s="796"/>
      <c r="AL339" s="796"/>
      <c r="AM339" s="796"/>
      <c r="AN339" s="796"/>
      <c r="AO339" s="796"/>
      <c r="AP339" s="796"/>
      <c r="AQ339" s="796"/>
      <c r="AR339" s="796"/>
      <c r="AS339" s="796"/>
      <c r="AT339" s="796"/>
      <c r="AU339" s="796"/>
    </row>
    <row r="340" spans="1:47" ht="13.5">
      <c r="A340" s="796"/>
      <c r="B340" s="796"/>
      <c r="C340" s="796"/>
      <c r="D340" s="796"/>
      <c r="E340" s="796"/>
      <c r="F340" s="796"/>
      <c r="G340" s="796"/>
      <c r="H340" s="796"/>
      <c r="I340" s="796"/>
      <c r="J340" s="796"/>
      <c r="K340" s="796"/>
      <c r="L340" s="796"/>
      <c r="M340" s="796"/>
      <c r="N340" s="796"/>
      <c r="O340" s="796"/>
      <c r="P340" s="796"/>
      <c r="Q340" s="796"/>
      <c r="R340" s="796"/>
      <c r="S340" s="796"/>
      <c r="T340" s="796"/>
      <c r="U340" s="796"/>
      <c r="V340" s="796"/>
      <c r="W340" s="796"/>
      <c r="X340" s="796"/>
      <c r="Y340" s="796"/>
      <c r="Z340" s="796"/>
      <c r="AA340" s="796"/>
      <c r="AB340" s="796"/>
      <c r="AC340" s="796"/>
      <c r="AD340" s="796"/>
      <c r="AE340" s="796"/>
      <c r="AF340" s="796"/>
      <c r="AG340" s="796"/>
      <c r="AH340" s="796"/>
      <c r="AI340" s="796"/>
      <c r="AJ340" s="796"/>
      <c r="AK340" s="796"/>
      <c r="AL340" s="796"/>
      <c r="AM340" s="796"/>
      <c r="AN340" s="796"/>
      <c r="AO340" s="796"/>
      <c r="AP340" s="796"/>
      <c r="AQ340" s="796"/>
      <c r="AR340" s="796"/>
      <c r="AS340" s="796"/>
      <c r="AT340" s="796"/>
      <c r="AU340" s="796"/>
    </row>
    <row r="341" spans="1:47" ht="13.5">
      <c r="A341" s="796"/>
      <c r="B341" s="796"/>
      <c r="C341" s="796"/>
      <c r="D341" s="796"/>
      <c r="E341" s="796"/>
      <c r="F341" s="796"/>
      <c r="G341" s="796"/>
      <c r="H341" s="796"/>
      <c r="I341" s="796"/>
      <c r="J341" s="796"/>
      <c r="K341" s="796"/>
      <c r="L341" s="796"/>
      <c r="M341" s="796"/>
      <c r="N341" s="796"/>
      <c r="O341" s="796"/>
      <c r="P341" s="796"/>
      <c r="Q341" s="796"/>
      <c r="R341" s="796"/>
      <c r="S341" s="796"/>
      <c r="T341" s="796"/>
      <c r="U341" s="796"/>
      <c r="V341" s="796"/>
      <c r="W341" s="796"/>
      <c r="X341" s="796"/>
      <c r="Y341" s="796"/>
      <c r="Z341" s="796"/>
      <c r="AA341" s="796"/>
      <c r="AB341" s="796"/>
      <c r="AC341" s="796"/>
      <c r="AD341" s="796"/>
      <c r="AE341" s="796"/>
      <c r="AF341" s="796"/>
      <c r="AG341" s="796"/>
      <c r="AH341" s="796"/>
      <c r="AI341" s="796"/>
      <c r="AJ341" s="796"/>
      <c r="AK341" s="796"/>
      <c r="AL341" s="796"/>
      <c r="AM341" s="796"/>
      <c r="AN341" s="796"/>
      <c r="AO341" s="796"/>
      <c r="AP341" s="796"/>
      <c r="AQ341" s="796"/>
      <c r="AR341" s="796"/>
      <c r="AS341" s="796"/>
      <c r="AT341" s="796"/>
      <c r="AU341" s="796"/>
    </row>
    <row r="342" spans="1:47" ht="13.5">
      <c r="A342" s="796"/>
      <c r="B342" s="796"/>
      <c r="C342" s="796"/>
      <c r="D342" s="796"/>
      <c r="E342" s="796"/>
      <c r="F342" s="796"/>
      <c r="G342" s="796"/>
      <c r="H342" s="796"/>
      <c r="I342" s="796"/>
      <c r="J342" s="796"/>
      <c r="K342" s="796"/>
      <c r="L342" s="796"/>
      <c r="M342" s="796"/>
      <c r="N342" s="796"/>
      <c r="O342" s="796"/>
      <c r="P342" s="796"/>
      <c r="Q342" s="796"/>
      <c r="R342" s="796"/>
      <c r="S342" s="796"/>
      <c r="T342" s="796"/>
      <c r="U342" s="796"/>
      <c r="V342" s="796"/>
      <c r="W342" s="796"/>
      <c r="X342" s="796"/>
      <c r="Y342" s="796"/>
      <c r="Z342" s="796"/>
      <c r="AA342" s="796"/>
      <c r="AB342" s="796"/>
      <c r="AC342" s="796"/>
      <c r="AD342" s="796"/>
      <c r="AE342" s="796"/>
      <c r="AF342" s="796"/>
      <c r="AG342" s="796"/>
      <c r="AH342" s="796"/>
      <c r="AI342" s="796"/>
      <c r="AJ342" s="796"/>
      <c r="AK342" s="796"/>
      <c r="AL342" s="796"/>
      <c r="AM342" s="796"/>
      <c r="AN342" s="796"/>
      <c r="AO342" s="796"/>
      <c r="AP342" s="796"/>
      <c r="AQ342" s="796"/>
      <c r="AR342" s="796"/>
      <c r="AS342" s="796"/>
      <c r="AT342" s="796"/>
      <c r="AU342" s="796"/>
    </row>
    <row r="343" spans="1:47" ht="13.5">
      <c r="A343" s="796"/>
      <c r="B343" s="796"/>
      <c r="C343" s="796"/>
      <c r="D343" s="796"/>
      <c r="E343" s="796"/>
      <c r="F343" s="796"/>
      <c r="G343" s="796"/>
      <c r="H343" s="796"/>
      <c r="I343" s="796"/>
      <c r="J343" s="796"/>
      <c r="K343" s="796"/>
      <c r="L343" s="796"/>
      <c r="M343" s="796"/>
      <c r="N343" s="796"/>
      <c r="O343" s="796"/>
      <c r="P343" s="796"/>
      <c r="Q343" s="796"/>
      <c r="R343" s="796"/>
      <c r="S343" s="796"/>
      <c r="T343" s="796"/>
      <c r="U343" s="796"/>
      <c r="V343" s="796"/>
      <c r="W343" s="796"/>
      <c r="X343" s="796"/>
      <c r="Y343" s="796"/>
      <c r="Z343" s="796"/>
      <c r="AA343" s="796"/>
      <c r="AB343" s="796"/>
      <c r="AC343" s="796"/>
      <c r="AD343" s="796"/>
      <c r="AE343" s="796"/>
      <c r="AF343" s="796"/>
      <c r="AG343" s="796"/>
      <c r="AH343" s="796"/>
      <c r="AI343" s="796"/>
      <c r="AJ343" s="796"/>
      <c r="AK343" s="796"/>
      <c r="AL343" s="796"/>
      <c r="AM343" s="796"/>
      <c r="AN343" s="796"/>
      <c r="AO343" s="796"/>
      <c r="AP343" s="796"/>
      <c r="AQ343" s="796"/>
      <c r="AR343" s="796"/>
      <c r="AS343" s="796"/>
      <c r="AT343" s="796"/>
      <c r="AU343" s="796"/>
    </row>
    <row r="344" spans="1:47" ht="13.5">
      <c r="A344" s="796"/>
      <c r="B344" s="796"/>
      <c r="C344" s="796"/>
      <c r="D344" s="796"/>
      <c r="E344" s="796"/>
      <c r="F344" s="796"/>
      <c r="G344" s="796"/>
      <c r="H344" s="796"/>
      <c r="I344" s="796"/>
      <c r="J344" s="796"/>
      <c r="K344" s="796"/>
      <c r="L344" s="796"/>
      <c r="M344" s="796"/>
      <c r="N344" s="796"/>
      <c r="O344" s="796"/>
      <c r="P344" s="796"/>
      <c r="Q344" s="796"/>
      <c r="R344" s="796"/>
      <c r="S344" s="796"/>
      <c r="T344" s="796"/>
      <c r="U344" s="796"/>
      <c r="V344" s="796"/>
      <c r="W344" s="796"/>
      <c r="X344" s="796"/>
      <c r="Y344" s="796"/>
      <c r="Z344" s="796"/>
      <c r="AA344" s="796"/>
      <c r="AB344" s="796"/>
      <c r="AC344" s="796"/>
      <c r="AD344" s="796"/>
      <c r="AE344" s="796"/>
      <c r="AF344" s="796"/>
      <c r="AG344" s="796"/>
      <c r="AH344" s="796"/>
      <c r="AI344" s="796"/>
      <c r="AJ344" s="796"/>
      <c r="AK344" s="796"/>
      <c r="AL344" s="796"/>
      <c r="AM344" s="796"/>
      <c r="AN344" s="796"/>
      <c r="AO344" s="796"/>
      <c r="AP344" s="796"/>
      <c r="AQ344" s="796"/>
      <c r="AR344" s="796"/>
      <c r="AS344" s="796"/>
      <c r="AT344" s="796"/>
      <c r="AU344" s="796"/>
    </row>
    <row r="345" spans="1:47" ht="13.5">
      <c r="A345" s="796"/>
      <c r="B345" s="796"/>
      <c r="C345" s="796"/>
      <c r="D345" s="796"/>
      <c r="E345" s="796"/>
      <c r="F345" s="796"/>
      <c r="G345" s="796"/>
      <c r="H345" s="796"/>
      <c r="I345" s="796"/>
      <c r="J345" s="796"/>
      <c r="K345" s="796"/>
      <c r="L345" s="796"/>
      <c r="M345" s="796"/>
      <c r="N345" s="796"/>
      <c r="O345" s="796"/>
      <c r="P345" s="796"/>
      <c r="Q345" s="796"/>
      <c r="R345" s="796"/>
      <c r="S345" s="796"/>
      <c r="T345" s="796"/>
      <c r="U345" s="796"/>
      <c r="V345" s="796"/>
      <c r="W345" s="796"/>
      <c r="X345" s="796"/>
      <c r="Y345" s="796"/>
      <c r="Z345" s="796"/>
      <c r="AA345" s="796"/>
      <c r="AB345" s="796"/>
      <c r="AC345" s="796"/>
      <c r="AD345" s="796"/>
      <c r="AE345" s="796"/>
      <c r="AF345" s="796"/>
      <c r="AG345" s="796"/>
      <c r="AH345" s="796"/>
      <c r="AI345" s="796"/>
      <c r="AJ345" s="796"/>
      <c r="AK345" s="796"/>
      <c r="AL345" s="796"/>
      <c r="AM345" s="796"/>
      <c r="AN345" s="796"/>
      <c r="AO345" s="796"/>
      <c r="AP345" s="796"/>
      <c r="AQ345" s="796"/>
      <c r="AR345" s="796"/>
      <c r="AS345" s="796"/>
      <c r="AT345" s="796"/>
      <c r="AU345" s="796"/>
    </row>
    <row r="346" spans="1:47" ht="13.5">
      <c r="A346" s="796"/>
      <c r="B346" s="796"/>
      <c r="C346" s="796"/>
      <c r="D346" s="796"/>
      <c r="E346" s="796"/>
      <c r="F346" s="796"/>
      <c r="G346" s="796"/>
      <c r="H346" s="796"/>
      <c r="I346" s="796"/>
      <c r="J346" s="796"/>
      <c r="K346" s="796"/>
      <c r="L346" s="796"/>
      <c r="M346" s="796"/>
      <c r="N346" s="796"/>
      <c r="O346" s="796"/>
      <c r="P346" s="796"/>
      <c r="Q346" s="796"/>
      <c r="R346" s="796"/>
      <c r="S346" s="796"/>
      <c r="T346" s="796"/>
      <c r="U346" s="796"/>
      <c r="V346" s="796"/>
      <c r="W346" s="796"/>
      <c r="X346" s="796"/>
      <c r="Y346" s="796"/>
      <c r="Z346" s="796"/>
      <c r="AA346" s="796"/>
      <c r="AB346" s="796"/>
      <c r="AC346" s="796"/>
      <c r="AD346" s="796"/>
      <c r="AE346" s="796"/>
      <c r="AF346" s="796"/>
      <c r="AG346" s="796"/>
      <c r="AH346" s="796"/>
      <c r="AI346" s="796"/>
      <c r="AJ346" s="796"/>
      <c r="AK346" s="796"/>
      <c r="AL346" s="796"/>
      <c r="AM346" s="796"/>
      <c r="AN346" s="796"/>
      <c r="AO346" s="796"/>
      <c r="AP346" s="796"/>
      <c r="AQ346" s="796"/>
      <c r="AR346" s="796"/>
      <c r="AS346" s="796"/>
      <c r="AT346" s="796"/>
      <c r="AU346" s="796"/>
    </row>
    <row r="347" spans="1:47" ht="13.5">
      <c r="A347" s="796"/>
      <c r="B347" s="796"/>
      <c r="C347" s="796"/>
      <c r="D347" s="796"/>
      <c r="E347" s="796"/>
      <c r="F347" s="796"/>
      <c r="G347" s="796"/>
      <c r="H347" s="796"/>
      <c r="I347" s="796"/>
      <c r="J347" s="796"/>
      <c r="K347" s="796"/>
      <c r="L347" s="796"/>
      <c r="M347" s="796"/>
      <c r="N347" s="796"/>
      <c r="O347" s="796"/>
      <c r="P347" s="796"/>
      <c r="Q347" s="796"/>
      <c r="R347" s="796"/>
      <c r="S347" s="796"/>
      <c r="T347" s="796"/>
      <c r="U347" s="796"/>
      <c r="V347" s="796"/>
      <c r="W347" s="796"/>
      <c r="X347" s="796"/>
      <c r="Y347" s="796"/>
      <c r="Z347" s="796"/>
      <c r="AA347" s="796"/>
      <c r="AB347" s="796"/>
      <c r="AC347" s="796"/>
      <c r="AD347" s="796"/>
      <c r="AE347" s="796"/>
      <c r="AF347" s="796"/>
      <c r="AG347" s="796"/>
      <c r="AH347" s="796"/>
      <c r="AI347" s="796"/>
      <c r="AJ347" s="796"/>
      <c r="AK347" s="796"/>
      <c r="AL347" s="796"/>
      <c r="AM347" s="796"/>
      <c r="AN347" s="796"/>
      <c r="AO347" s="796"/>
      <c r="AP347" s="796"/>
      <c r="AQ347" s="796"/>
      <c r="AR347" s="796"/>
      <c r="AS347" s="796"/>
      <c r="AT347" s="796"/>
      <c r="AU347" s="796"/>
    </row>
    <row r="348" spans="1:47" ht="13.5">
      <c r="A348" s="796"/>
      <c r="B348" s="796"/>
      <c r="C348" s="796"/>
      <c r="D348" s="796"/>
      <c r="E348" s="796"/>
      <c r="F348" s="796"/>
      <c r="G348" s="796"/>
      <c r="H348" s="796"/>
      <c r="I348" s="796"/>
      <c r="J348" s="796"/>
      <c r="K348" s="796"/>
      <c r="L348" s="796"/>
      <c r="M348" s="796"/>
      <c r="N348" s="796"/>
      <c r="O348" s="796"/>
      <c r="P348" s="796"/>
      <c r="Q348" s="796"/>
      <c r="R348" s="796"/>
      <c r="S348" s="796"/>
      <c r="T348" s="796"/>
      <c r="U348" s="796"/>
      <c r="V348" s="796"/>
      <c r="W348" s="796"/>
      <c r="X348" s="796"/>
      <c r="Y348" s="796"/>
      <c r="Z348" s="796"/>
      <c r="AA348" s="796"/>
      <c r="AB348" s="796"/>
      <c r="AC348" s="796"/>
      <c r="AD348" s="796"/>
      <c r="AE348" s="796"/>
      <c r="AF348" s="796"/>
      <c r="AG348" s="796"/>
      <c r="AH348" s="796"/>
      <c r="AI348" s="796"/>
      <c r="AJ348" s="796"/>
      <c r="AK348" s="796"/>
      <c r="AL348" s="796"/>
      <c r="AM348" s="796"/>
      <c r="AN348" s="796"/>
      <c r="AO348" s="796"/>
      <c r="AP348" s="796"/>
      <c r="AQ348" s="796"/>
      <c r="AR348" s="796"/>
      <c r="AS348" s="796"/>
      <c r="AT348" s="796"/>
      <c r="AU348" s="796"/>
    </row>
    <row r="349" spans="1:47" ht="13.5">
      <c r="A349" s="796"/>
      <c r="B349" s="796"/>
      <c r="C349" s="796"/>
      <c r="D349" s="796"/>
      <c r="E349" s="796"/>
      <c r="F349" s="796"/>
      <c r="G349" s="796"/>
      <c r="H349" s="796"/>
      <c r="I349" s="796"/>
      <c r="J349" s="796"/>
      <c r="K349" s="796"/>
      <c r="L349" s="796"/>
      <c r="M349" s="796"/>
      <c r="N349" s="796"/>
      <c r="O349" s="796"/>
      <c r="P349" s="796"/>
      <c r="Q349" s="796"/>
      <c r="R349" s="796"/>
      <c r="S349" s="796"/>
      <c r="T349" s="796"/>
      <c r="U349" s="796"/>
      <c r="V349" s="796"/>
      <c r="W349" s="796"/>
      <c r="X349" s="796"/>
      <c r="Y349" s="796"/>
      <c r="Z349" s="796"/>
      <c r="AA349" s="796"/>
      <c r="AB349" s="796"/>
      <c r="AC349" s="796"/>
      <c r="AD349" s="796"/>
      <c r="AE349" s="796"/>
      <c r="AF349" s="796"/>
      <c r="AG349" s="796"/>
      <c r="AH349" s="796"/>
      <c r="AI349" s="796"/>
      <c r="AJ349" s="796"/>
      <c r="AK349" s="796"/>
      <c r="AL349" s="796"/>
      <c r="AM349" s="796"/>
      <c r="AN349" s="796"/>
      <c r="AO349" s="796"/>
      <c r="AP349" s="796"/>
      <c r="AQ349" s="796"/>
      <c r="AR349" s="796"/>
      <c r="AS349" s="796"/>
      <c r="AT349" s="796"/>
      <c r="AU349" s="796"/>
    </row>
    <row r="350" spans="1:47" ht="13.5">
      <c r="A350" s="796"/>
      <c r="B350" s="796"/>
      <c r="C350" s="796"/>
      <c r="D350" s="796"/>
      <c r="E350" s="796"/>
      <c r="F350" s="796"/>
      <c r="G350" s="796"/>
      <c r="H350" s="796"/>
      <c r="I350" s="796"/>
      <c r="J350" s="796"/>
      <c r="K350" s="796"/>
      <c r="L350" s="796"/>
      <c r="M350" s="796"/>
      <c r="N350" s="796"/>
      <c r="O350" s="796"/>
      <c r="P350" s="796"/>
      <c r="Q350" s="796"/>
      <c r="R350" s="796"/>
      <c r="S350" s="796"/>
      <c r="T350" s="796"/>
      <c r="U350" s="796"/>
      <c r="V350" s="796"/>
      <c r="W350" s="796"/>
      <c r="X350" s="796"/>
      <c r="Y350" s="796"/>
      <c r="Z350" s="796"/>
      <c r="AA350" s="796"/>
      <c r="AB350" s="796"/>
      <c r="AC350" s="796"/>
      <c r="AD350" s="796"/>
      <c r="AE350" s="796"/>
      <c r="AF350" s="796"/>
      <c r="AG350" s="796"/>
      <c r="AH350" s="796"/>
      <c r="AI350" s="796"/>
      <c r="AJ350" s="796"/>
      <c r="AK350" s="796"/>
      <c r="AL350" s="796"/>
      <c r="AM350" s="796"/>
      <c r="AN350" s="796"/>
      <c r="AO350" s="796"/>
      <c r="AP350" s="796"/>
      <c r="AQ350" s="796"/>
      <c r="AR350" s="796"/>
      <c r="AS350" s="796"/>
      <c r="AT350" s="796"/>
      <c r="AU350" s="796"/>
    </row>
    <row r="351" spans="1:47" ht="13.5">
      <c r="A351" s="796"/>
      <c r="B351" s="796"/>
      <c r="C351" s="796"/>
      <c r="D351" s="796"/>
      <c r="E351" s="796"/>
      <c r="F351" s="796"/>
      <c r="G351" s="796"/>
      <c r="H351" s="796"/>
      <c r="I351" s="796"/>
      <c r="J351" s="796"/>
      <c r="K351" s="796"/>
      <c r="L351" s="796"/>
      <c r="M351" s="796"/>
      <c r="N351" s="796"/>
      <c r="O351" s="796"/>
      <c r="P351" s="796"/>
      <c r="Q351" s="796"/>
      <c r="R351" s="796"/>
      <c r="S351" s="796"/>
      <c r="T351" s="796"/>
      <c r="U351" s="796"/>
      <c r="V351" s="796"/>
      <c r="W351" s="796"/>
      <c r="X351" s="796"/>
      <c r="Y351" s="796"/>
      <c r="Z351" s="796"/>
      <c r="AA351" s="796"/>
      <c r="AB351" s="796"/>
      <c r="AC351" s="796"/>
      <c r="AD351" s="796"/>
      <c r="AE351" s="796"/>
      <c r="AF351" s="796"/>
      <c r="AG351" s="796"/>
      <c r="AH351" s="796"/>
      <c r="AI351" s="796"/>
      <c r="AJ351" s="796"/>
      <c r="AK351" s="796"/>
      <c r="AL351" s="796"/>
      <c r="AM351" s="796"/>
      <c r="AN351" s="796"/>
      <c r="AO351" s="796"/>
      <c r="AP351" s="796"/>
      <c r="AQ351" s="796"/>
      <c r="AR351" s="796"/>
      <c r="AS351" s="796"/>
      <c r="AT351" s="796"/>
      <c r="AU351" s="796"/>
    </row>
    <row r="352" spans="1:47" ht="13.5">
      <c r="A352" s="796"/>
      <c r="B352" s="796"/>
      <c r="C352" s="796"/>
      <c r="D352" s="796"/>
      <c r="E352" s="796"/>
      <c r="F352" s="796"/>
      <c r="G352" s="796"/>
      <c r="H352" s="796"/>
      <c r="I352" s="796"/>
      <c r="J352" s="796"/>
      <c r="K352" s="796"/>
      <c r="L352" s="796"/>
      <c r="M352" s="796"/>
      <c r="N352" s="796"/>
      <c r="O352" s="796"/>
      <c r="P352" s="796"/>
      <c r="Q352" s="796"/>
      <c r="R352" s="796"/>
      <c r="S352" s="796"/>
      <c r="T352" s="796"/>
      <c r="U352" s="796"/>
      <c r="V352" s="796"/>
      <c r="W352" s="796"/>
      <c r="X352" s="796"/>
      <c r="Y352" s="796"/>
      <c r="Z352" s="796"/>
      <c r="AA352" s="796"/>
      <c r="AB352" s="796"/>
      <c r="AC352" s="796"/>
      <c r="AD352" s="796"/>
      <c r="AE352" s="796"/>
      <c r="AF352" s="796"/>
      <c r="AG352" s="796"/>
      <c r="AH352" s="796"/>
      <c r="AI352" s="796"/>
      <c r="AJ352" s="796"/>
      <c r="AK352" s="796"/>
      <c r="AL352" s="796"/>
      <c r="AM352" s="796"/>
      <c r="AN352" s="796"/>
      <c r="AO352" s="796"/>
      <c r="AP352" s="796"/>
      <c r="AQ352" s="796"/>
      <c r="AR352" s="796"/>
      <c r="AS352" s="796"/>
      <c r="AT352" s="796"/>
      <c r="AU352" s="796"/>
    </row>
    <row r="353" spans="1:47" ht="13.5">
      <c r="A353" s="796"/>
      <c r="B353" s="796"/>
      <c r="C353" s="796"/>
      <c r="D353" s="796"/>
      <c r="E353" s="796"/>
      <c r="F353" s="796"/>
      <c r="G353" s="796"/>
      <c r="H353" s="796"/>
      <c r="I353" s="796"/>
      <c r="J353" s="796"/>
      <c r="K353" s="796"/>
      <c r="L353" s="796"/>
      <c r="M353" s="796"/>
      <c r="N353" s="796"/>
      <c r="O353" s="796"/>
      <c r="P353" s="796"/>
      <c r="Q353" s="796"/>
      <c r="R353" s="796"/>
      <c r="S353" s="796"/>
      <c r="T353" s="796"/>
      <c r="U353" s="796"/>
      <c r="V353" s="796"/>
      <c r="W353" s="796"/>
      <c r="X353" s="796"/>
      <c r="Y353" s="796"/>
      <c r="Z353" s="796"/>
      <c r="AA353" s="796"/>
      <c r="AB353" s="796"/>
      <c r="AC353" s="796"/>
      <c r="AD353" s="796"/>
      <c r="AE353" s="796"/>
      <c r="AF353" s="796"/>
      <c r="AG353" s="796"/>
      <c r="AH353" s="796"/>
      <c r="AI353" s="796"/>
      <c r="AJ353" s="796"/>
      <c r="AK353" s="796"/>
      <c r="AL353" s="796"/>
      <c r="AM353" s="796"/>
      <c r="AN353" s="796"/>
      <c r="AO353" s="796"/>
      <c r="AP353" s="796"/>
      <c r="AQ353" s="796"/>
      <c r="AR353" s="796"/>
      <c r="AS353" s="796"/>
      <c r="AT353" s="796"/>
      <c r="AU353" s="796"/>
    </row>
    <row r="354" spans="1:47" ht="13.5">
      <c r="A354" s="796"/>
      <c r="B354" s="796"/>
      <c r="C354" s="796"/>
      <c r="D354" s="796"/>
      <c r="E354" s="796"/>
      <c r="F354" s="796"/>
      <c r="G354" s="796"/>
      <c r="H354" s="796"/>
      <c r="I354" s="796"/>
      <c r="J354" s="796"/>
      <c r="K354" s="796"/>
      <c r="L354" s="796"/>
      <c r="M354" s="796"/>
      <c r="N354" s="796"/>
      <c r="O354" s="796"/>
      <c r="P354" s="796"/>
      <c r="Q354" s="796"/>
      <c r="R354" s="796"/>
      <c r="S354" s="796"/>
      <c r="T354" s="796"/>
      <c r="U354" s="796"/>
      <c r="V354" s="796"/>
      <c r="W354" s="796"/>
      <c r="X354" s="796"/>
      <c r="Y354" s="796"/>
      <c r="Z354" s="796"/>
      <c r="AA354" s="796"/>
      <c r="AB354" s="796"/>
      <c r="AC354" s="796"/>
      <c r="AD354" s="796"/>
      <c r="AE354" s="796"/>
      <c r="AF354" s="796"/>
      <c r="AG354" s="796"/>
      <c r="AH354" s="796"/>
      <c r="AI354" s="796"/>
      <c r="AJ354" s="796"/>
      <c r="AK354" s="796"/>
      <c r="AL354" s="796"/>
      <c r="AM354" s="796"/>
      <c r="AN354" s="796"/>
      <c r="AO354" s="796"/>
      <c r="AP354" s="796"/>
      <c r="AQ354" s="796"/>
      <c r="AR354" s="796"/>
      <c r="AS354" s="796"/>
      <c r="AT354" s="796"/>
      <c r="AU354" s="796"/>
    </row>
    <row r="355" spans="1:47" ht="13.5">
      <c r="A355" s="796"/>
      <c r="B355" s="796"/>
      <c r="C355" s="796"/>
      <c r="D355" s="796"/>
      <c r="E355" s="796"/>
      <c r="F355" s="796"/>
      <c r="G355" s="796"/>
      <c r="H355" s="796"/>
      <c r="I355" s="796"/>
      <c r="J355" s="796"/>
      <c r="K355" s="796"/>
      <c r="L355" s="796"/>
      <c r="M355" s="796"/>
      <c r="N355" s="796"/>
      <c r="O355" s="796"/>
      <c r="P355" s="796"/>
      <c r="Q355" s="796"/>
      <c r="R355" s="796"/>
      <c r="S355" s="796"/>
      <c r="T355" s="796"/>
      <c r="U355" s="796"/>
      <c r="V355" s="796"/>
      <c r="W355" s="796"/>
      <c r="X355" s="796"/>
      <c r="Y355" s="796"/>
      <c r="Z355" s="796"/>
      <c r="AA355" s="796"/>
      <c r="AB355" s="796"/>
      <c r="AC355" s="796"/>
      <c r="AD355" s="796"/>
      <c r="AE355" s="796"/>
      <c r="AF355" s="796"/>
      <c r="AG355" s="796"/>
      <c r="AH355" s="796"/>
      <c r="AI355" s="796"/>
      <c r="AJ355" s="796"/>
      <c r="AK355" s="796"/>
      <c r="AL355" s="796"/>
      <c r="AM355" s="796"/>
      <c r="AN355" s="796"/>
      <c r="AO355" s="796"/>
      <c r="AP355" s="796"/>
      <c r="AQ355" s="796"/>
      <c r="AR355" s="796"/>
      <c r="AS355" s="796"/>
      <c r="AT355" s="796"/>
      <c r="AU355" s="796"/>
    </row>
    <row r="356" spans="1:47" ht="13.5">
      <c r="A356" s="796"/>
      <c r="B356" s="796"/>
      <c r="C356" s="796"/>
      <c r="D356" s="796"/>
      <c r="E356" s="796"/>
      <c r="F356" s="796"/>
      <c r="G356" s="796"/>
      <c r="H356" s="796"/>
      <c r="I356" s="796"/>
      <c r="J356" s="796"/>
      <c r="K356" s="796"/>
      <c r="L356" s="796"/>
      <c r="M356" s="796"/>
      <c r="N356" s="796"/>
      <c r="O356" s="796"/>
      <c r="P356" s="796"/>
      <c r="Q356" s="796"/>
      <c r="R356" s="796"/>
      <c r="S356" s="796"/>
      <c r="T356" s="796"/>
      <c r="U356" s="796"/>
      <c r="V356" s="796"/>
      <c r="W356" s="796"/>
      <c r="X356" s="796"/>
      <c r="Y356" s="796"/>
      <c r="Z356" s="796"/>
      <c r="AA356" s="796"/>
      <c r="AB356" s="796"/>
      <c r="AC356" s="796"/>
      <c r="AD356" s="796"/>
      <c r="AE356" s="796"/>
      <c r="AF356" s="796"/>
      <c r="AG356" s="796"/>
      <c r="AH356" s="796"/>
      <c r="AI356" s="796"/>
      <c r="AJ356" s="796"/>
      <c r="AK356" s="796"/>
      <c r="AL356" s="796"/>
      <c r="AM356" s="796"/>
      <c r="AN356" s="796"/>
      <c r="AO356" s="796"/>
      <c r="AP356" s="796"/>
      <c r="AQ356" s="796"/>
      <c r="AR356" s="796"/>
      <c r="AS356" s="796"/>
      <c r="AT356" s="796"/>
      <c r="AU356" s="796"/>
    </row>
    <row r="357" spans="1:47" ht="13.5">
      <c r="A357" s="796"/>
      <c r="B357" s="796"/>
      <c r="C357" s="796"/>
      <c r="D357" s="796"/>
      <c r="E357" s="796"/>
      <c r="F357" s="796"/>
      <c r="G357" s="796"/>
      <c r="H357" s="796"/>
      <c r="I357" s="796"/>
      <c r="J357" s="796"/>
      <c r="K357" s="796"/>
      <c r="L357" s="796"/>
      <c r="M357" s="796"/>
      <c r="N357" s="796"/>
      <c r="O357" s="796"/>
      <c r="P357" s="796"/>
      <c r="Q357" s="796"/>
      <c r="R357" s="796"/>
      <c r="S357" s="796"/>
      <c r="T357" s="796"/>
      <c r="U357" s="796"/>
      <c r="V357" s="796"/>
      <c r="W357" s="796"/>
      <c r="X357" s="796"/>
      <c r="Y357" s="796"/>
      <c r="Z357" s="796"/>
      <c r="AA357" s="796"/>
      <c r="AB357" s="796"/>
      <c r="AC357" s="796"/>
      <c r="AD357" s="796"/>
      <c r="AE357" s="796"/>
      <c r="AF357" s="796"/>
      <c r="AG357" s="796"/>
      <c r="AH357" s="796"/>
      <c r="AI357" s="796"/>
      <c r="AJ357" s="796"/>
      <c r="AK357" s="796"/>
      <c r="AL357" s="796"/>
      <c r="AM357" s="796"/>
      <c r="AN357" s="796"/>
      <c r="AO357" s="796"/>
      <c r="AP357" s="796"/>
      <c r="AQ357" s="796"/>
      <c r="AR357" s="796"/>
      <c r="AS357" s="796"/>
      <c r="AT357" s="796"/>
      <c r="AU357" s="796"/>
    </row>
    <row r="358" spans="1:47" ht="13.5">
      <c r="A358" s="796"/>
      <c r="B358" s="796"/>
      <c r="C358" s="796"/>
      <c r="D358" s="796"/>
      <c r="E358" s="796"/>
      <c r="F358" s="796"/>
      <c r="G358" s="796"/>
      <c r="H358" s="796"/>
      <c r="I358" s="796"/>
      <c r="J358" s="796"/>
      <c r="K358" s="796"/>
      <c r="L358" s="796"/>
      <c r="M358" s="796"/>
      <c r="N358" s="796"/>
      <c r="O358" s="796"/>
      <c r="P358" s="796"/>
      <c r="Q358" s="796"/>
      <c r="R358" s="796"/>
      <c r="S358" s="796"/>
      <c r="T358" s="796"/>
      <c r="U358" s="796"/>
      <c r="V358" s="796"/>
      <c r="W358" s="796"/>
      <c r="X358" s="796"/>
      <c r="Y358" s="796"/>
      <c r="Z358" s="796"/>
      <c r="AA358" s="796"/>
      <c r="AB358" s="796"/>
      <c r="AC358" s="796"/>
      <c r="AD358" s="796"/>
      <c r="AE358" s="796"/>
      <c r="AF358" s="796"/>
      <c r="AG358" s="796"/>
      <c r="AH358" s="796"/>
      <c r="AI358" s="796"/>
      <c r="AJ358" s="796"/>
      <c r="AK358" s="796"/>
      <c r="AL358" s="796"/>
      <c r="AM358" s="796"/>
      <c r="AN358" s="796"/>
      <c r="AO358" s="796"/>
      <c r="AP358" s="796"/>
      <c r="AQ358" s="796"/>
      <c r="AR358" s="796"/>
      <c r="AS358" s="796"/>
      <c r="AT358" s="796"/>
      <c r="AU358" s="796"/>
    </row>
    <row r="359" spans="1:47" ht="13.5">
      <c r="A359" s="796"/>
      <c r="B359" s="796"/>
      <c r="C359" s="796"/>
      <c r="D359" s="796"/>
      <c r="E359" s="796"/>
      <c r="F359" s="796"/>
      <c r="G359" s="796"/>
      <c r="H359" s="796"/>
      <c r="I359" s="796"/>
      <c r="J359" s="796"/>
      <c r="K359" s="796"/>
      <c r="L359" s="796"/>
      <c r="M359" s="796"/>
      <c r="N359" s="796"/>
      <c r="O359" s="796"/>
      <c r="P359" s="796"/>
      <c r="Q359" s="796"/>
      <c r="R359" s="796"/>
      <c r="S359" s="796"/>
      <c r="T359" s="796"/>
      <c r="U359" s="796"/>
      <c r="V359" s="796"/>
      <c r="W359" s="796"/>
      <c r="X359" s="796"/>
      <c r="Y359" s="796"/>
      <c r="Z359" s="796"/>
      <c r="AA359" s="796"/>
      <c r="AB359" s="796"/>
      <c r="AC359" s="796"/>
      <c r="AD359" s="796"/>
      <c r="AE359" s="796"/>
      <c r="AF359" s="796"/>
      <c r="AG359" s="796"/>
      <c r="AH359" s="796"/>
      <c r="AI359" s="796"/>
      <c r="AJ359" s="796"/>
      <c r="AK359" s="796"/>
      <c r="AL359" s="796"/>
      <c r="AM359" s="796"/>
      <c r="AN359" s="796"/>
      <c r="AO359" s="796"/>
      <c r="AP359" s="796"/>
      <c r="AQ359" s="796"/>
      <c r="AR359" s="796"/>
      <c r="AS359" s="796"/>
      <c r="AT359" s="796"/>
      <c r="AU359" s="796"/>
    </row>
    <row r="360" spans="1:47" ht="13.5">
      <c r="A360" s="796"/>
      <c r="B360" s="796"/>
      <c r="C360" s="796"/>
      <c r="D360" s="796"/>
      <c r="E360" s="796"/>
      <c r="F360" s="796"/>
      <c r="G360" s="796"/>
      <c r="H360" s="796"/>
      <c r="I360" s="796"/>
      <c r="J360" s="796"/>
      <c r="K360" s="796"/>
      <c r="L360" s="796"/>
      <c r="M360" s="796"/>
      <c r="N360" s="796"/>
      <c r="O360" s="796"/>
      <c r="P360" s="796"/>
      <c r="Q360" s="796"/>
      <c r="R360" s="796"/>
      <c r="S360" s="796"/>
      <c r="T360" s="796"/>
      <c r="U360" s="796"/>
      <c r="V360" s="796"/>
      <c r="W360" s="796"/>
      <c r="X360" s="796"/>
      <c r="Y360" s="796"/>
      <c r="Z360" s="796"/>
      <c r="AA360" s="796"/>
      <c r="AB360" s="796"/>
      <c r="AC360" s="796"/>
      <c r="AD360" s="796"/>
      <c r="AE360" s="796"/>
      <c r="AF360" s="796"/>
      <c r="AG360" s="796"/>
      <c r="AH360" s="796"/>
      <c r="AI360" s="796"/>
      <c r="AJ360" s="796"/>
      <c r="AK360" s="796"/>
      <c r="AL360" s="796"/>
      <c r="AM360" s="796"/>
      <c r="AN360" s="796"/>
      <c r="AO360" s="796"/>
      <c r="AP360" s="796"/>
      <c r="AQ360" s="796"/>
      <c r="AR360" s="796"/>
      <c r="AS360" s="796"/>
      <c r="AT360" s="796"/>
      <c r="AU360" s="796"/>
    </row>
    <row r="361" spans="1:47" ht="13.5">
      <c r="AB361" s="796"/>
      <c r="AC361" s="796"/>
      <c r="AD361" s="796"/>
    </row>
  </sheetData>
  <mergeCells count="12">
    <mergeCell ref="N1:O1"/>
    <mergeCell ref="Q1:R1"/>
    <mergeCell ref="T1:U1"/>
    <mergeCell ref="W1:X1"/>
    <mergeCell ref="Z1:AA1"/>
    <mergeCell ref="AR1:AS1"/>
    <mergeCell ref="AU1:AV1"/>
    <mergeCell ref="AC1:AD1"/>
    <mergeCell ref="AF1:AG1"/>
    <mergeCell ref="AI1:AJ1"/>
    <mergeCell ref="AL1:AM1"/>
    <mergeCell ref="AO1:AP1"/>
  </mergeCell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&amp;CSeite &amp;P</oddFooter>
  </headerFooter>
</worksheet>
</file>

<file path=xl/worksheets/sheet21.xml><?xml version="1.0" encoding="utf-8"?>
<worksheet xmlns="http://schemas.openxmlformats.org/spreadsheetml/2006/main" xmlns:r="http://schemas.openxmlformats.org/officeDocument/2006/relationships">
  <dimension ref="A1:O62"/>
  <sheetViews>
    <sheetView topLeftCell="A13" zoomScaleNormal="100" workbookViewId="0">
      <selection activeCell="B62" sqref="B62"/>
    </sheetView>
  </sheetViews>
  <sheetFormatPr baseColWidth="10" defaultColWidth="11.5703125" defaultRowHeight="12.75"/>
  <cols>
    <col min="1" max="1" width="49.140625" customWidth="1"/>
    <col min="5" max="5" width="13" customWidth="1"/>
    <col min="7" max="7" width="13" customWidth="1"/>
  </cols>
  <sheetData>
    <row r="1" spans="1:14" ht="15.75">
      <c r="A1" s="317"/>
      <c r="B1" s="317"/>
      <c r="C1" s="317"/>
      <c r="D1" s="317"/>
      <c r="E1" s="317"/>
      <c r="F1" s="317"/>
      <c r="G1" s="317"/>
    </row>
    <row r="2" spans="1:14" ht="25.5">
      <c r="A2" s="1995" t="s">
        <v>2433</v>
      </c>
      <c r="B2" s="1995"/>
      <c r="C2" s="1995"/>
      <c r="D2" s="1995"/>
      <c r="E2" s="1995"/>
      <c r="F2" s="1995"/>
      <c r="G2" s="1995"/>
    </row>
    <row r="3" spans="1:14" ht="15.75">
      <c r="A3" s="400"/>
      <c r="B3" s="393"/>
      <c r="C3" s="393"/>
      <c r="D3" s="393"/>
      <c r="E3" s="393"/>
      <c r="F3" s="393"/>
      <c r="G3" s="461"/>
    </row>
    <row r="4" spans="1:14" ht="18">
      <c r="A4" s="806" t="s">
        <v>138</v>
      </c>
      <c r="B4" s="1983">
        <f>Zusatzeingaben!B2</f>
        <v>0</v>
      </c>
      <c r="C4" s="1983"/>
      <c r="D4" s="807" t="s">
        <v>139</v>
      </c>
      <c r="E4" s="824">
        <f>Zusatzeingaben!E2</f>
        <v>44774</v>
      </c>
      <c r="F4" s="809" t="s">
        <v>2158</v>
      </c>
      <c r="G4" s="825">
        <f>Zusatzeingaben!F2</f>
        <v>44804</v>
      </c>
    </row>
    <row r="5" spans="1:14" ht="16.5">
      <c r="A5" s="833"/>
      <c r="B5" s="834"/>
      <c r="C5" s="834"/>
      <c r="D5" s="834"/>
      <c r="E5" s="834"/>
      <c r="F5" s="834"/>
      <c r="G5" s="835"/>
    </row>
    <row r="6" spans="1:14" ht="15.75">
      <c r="A6" s="845"/>
      <c r="B6" s="846"/>
      <c r="C6" s="847" t="str">
        <f>Zusatzeingaben!C4</f>
        <v>Antragsteller</v>
      </c>
      <c r="D6" s="847" t="str">
        <f>Zusatzeingaben!D4</f>
        <v>Partner(in)</v>
      </c>
      <c r="E6" s="847" t="str">
        <f>Zusatzeingaben!E4</f>
        <v>Kind 1</v>
      </c>
      <c r="F6" s="847" t="s">
        <v>145</v>
      </c>
      <c r="G6" s="848" t="s">
        <v>146</v>
      </c>
    </row>
    <row r="7" spans="1:14" ht="15.75">
      <c r="A7" s="863" t="s">
        <v>2159</v>
      </c>
      <c r="B7" s="864"/>
      <c r="C7" s="841">
        <f>Zusatzeingaben!C6</f>
        <v>0</v>
      </c>
      <c r="D7" s="841">
        <f>Zusatzeingaben!D6</f>
        <v>0</v>
      </c>
      <c r="E7" s="841">
        <f>Zusatzeingaben!E6</f>
        <v>0</v>
      </c>
      <c r="F7" s="841">
        <f>Zusatzeingaben!F6</f>
        <v>0</v>
      </c>
      <c r="G7" s="842">
        <f>Zusatzeingaben!G6</f>
        <v>0</v>
      </c>
    </row>
    <row r="8" spans="1:14" ht="15.75">
      <c r="A8" s="877" t="s">
        <v>2161</v>
      </c>
      <c r="B8" s="878"/>
      <c r="C8" s="879">
        <f>Berechnung!C9</f>
        <v>0</v>
      </c>
      <c r="D8" s="879">
        <f>Berechnung!D9</f>
        <v>0</v>
      </c>
      <c r="E8" s="879">
        <f>Berechnung!E9</f>
        <v>0</v>
      </c>
      <c r="F8" s="879">
        <f>Berechnung!F9</f>
        <v>0</v>
      </c>
      <c r="G8" s="880">
        <f>Berechnung!G9</f>
        <v>0</v>
      </c>
      <c r="I8" s="889"/>
      <c r="J8" s="890"/>
      <c r="K8" s="879"/>
      <c r="L8" s="879"/>
      <c r="M8" s="879"/>
      <c r="N8" s="880"/>
    </row>
    <row r="9" spans="1:14" ht="15.75">
      <c r="A9" s="863" t="s">
        <v>2162</v>
      </c>
      <c r="B9" s="889"/>
      <c r="C9" s="890" t="str">
        <f>Berechnung!C10</f>
        <v>ja</v>
      </c>
      <c r="D9" s="879">
        <f>Berechnung!D10</f>
        <v>0</v>
      </c>
      <c r="E9" s="879">
        <f>Berechnung!E10</f>
        <v>0</v>
      </c>
      <c r="F9" s="879">
        <f>Berechnung!F10</f>
        <v>0</v>
      </c>
      <c r="G9" s="880">
        <f>Berechnung!G10</f>
        <v>0</v>
      </c>
    </row>
    <row r="10" spans="1:14" ht="15.75">
      <c r="A10" s="1894" t="s">
        <v>24</v>
      </c>
      <c r="B10" s="889"/>
      <c r="C10" s="890" t="str">
        <f>Zusatzeingaben!C34</f>
        <v>ja</v>
      </c>
      <c r="D10" s="879" t="str">
        <f>Zusatzeingaben!D34</f>
        <v>ja</v>
      </c>
      <c r="E10" s="879" t="str">
        <f>Zusatzeingaben!E34</f>
        <v>ja</v>
      </c>
      <c r="F10" s="879" t="str">
        <f>Zusatzeingaben!F34</f>
        <v>ja</v>
      </c>
      <c r="G10" s="880" t="str">
        <f>Zusatzeingaben!G34</f>
        <v>ja</v>
      </c>
    </row>
    <row r="11" spans="1:14" ht="15.75">
      <c r="A11" s="537" t="s">
        <v>2434</v>
      </c>
      <c r="B11" s="889"/>
      <c r="C11" s="890" t="str">
        <f>Eingabetabelle!D71</f>
        <v>Nein</v>
      </c>
      <c r="D11" s="879" t="str">
        <f>Eingabetabelle!E71</f>
        <v>Nein</v>
      </c>
      <c r="E11" s="879" t="str">
        <f>Eingabetabelle!F71</f>
        <v>Nein</v>
      </c>
      <c r="F11" s="879" t="str">
        <f>Eingabetabelle!G71</f>
        <v>Nein</v>
      </c>
      <c r="G11" s="880" t="str">
        <f>Eingabetabelle!H71</f>
        <v>Nein</v>
      </c>
    </row>
    <row r="12" spans="1:14" ht="15.75">
      <c r="A12" s="400"/>
      <c r="B12" s="393"/>
      <c r="C12" s="910"/>
      <c r="D12" s="910"/>
      <c r="E12" s="910"/>
      <c r="F12" s="910"/>
      <c r="G12" s="911"/>
    </row>
    <row r="13" spans="1:14" ht="18">
      <c r="A13" s="920" t="s">
        <v>2280</v>
      </c>
      <c r="B13" s="921"/>
      <c r="C13" s="355"/>
      <c r="D13" s="355"/>
      <c r="E13" s="355"/>
      <c r="F13" s="355"/>
      <c r="G13" s="485"/>
    </row>
    <row r="14" spans="1:14" ht="17.25">
      <c r="A14" s="927" t="s">
        <v>2281</v>
      </c>
      <c r="B14" s="506"/>
      <c r="C14" s="928"/>
      <c r="D14" s="928"/>
      <c r="E14" s="928"/>
      <c r="F14" s="928"/>
      <c r="G14" s="929"/>
    </row>
    <row r="15" spans="1:14" ht="15.75">
      <c r="A15" s="933" t="s">
        <v>2282</v>
      </c>
      <c r="B15" s="934"/>
      <c r="C15" s="457">
        <f>IF(Eingabetabelle!D71="Nein",0,IF(Eingabetabelle!D70=0,"",VLOOKUP($E$4,Bedarfssätze!$B132:$H140,2)))</f>
        <v>0</v>
      </c>
      <c r="D15" s="457">
        <f>IF(Eingabetabelle!E71="Nein",0,IF(Eingabetabelle!E70=0,"",VLOOKUP($E$4,Bedarfssätze!$B132:$H140,2)))</f>
        <v>0</v>
      </c>
      <c r="E15" s="457">
        <f>IF(Eingabetabelle!F71="Nein",0,IF(Eingabetabelle!F70=0,"",VLOOKUP($E$4,Bedarfssätze!$B132:$H140,2)))</f>
        <v>0</v>
      </c>
      <c r="F15" s="457">
        <f>IF(Eingabetabelle!G71="Nein",0,IF(Eingabetabelle!G70=0,"",VLOOKUP($E$4,Bedarfssätze!$B132:$H140,2)))</f>
        <v>0</v>
      </c>
      <c r="G15" s="457">
        <f>IF(Eingabetabelle!H71="Nein",0,IF(Eingabetabelle!H70=0,"",VLOOKUP($E$4,Bedarfssätze!$B132:$H140,2)))</f>
        <v>0</v>
      </c>
    </row>
    <row r="16" spans="1:14" ht="15.75">
      <c r="A16" s="939" t="s">
        <v>2283</v>
      </c>
      <c r="B16" s="940"/>
      <c r="C16" s="457">
        <f>IF(Eingabetabelle!D71="Nein",0,IF(Eingabetabelle!D70=0,"",Eingabetabelle!D70))</f>
        <v>0</v>
      </c>
      <c r="D16" s="457">
        <f>IF(Eingabetabelle!E71="Nein",0,IF(Eingabetabelle!E70=0,"",Eingabetabelle!E70))</f>
        <v>0</v>
      </c>
      <c r="E16" s="457">
        <f>IF(Eingabetabelle!F71="Nein",0,IF(Eingabetabelle!F70=0,"",Eingabetabelle!F70))</f>
        <v>0</v>
      </c>
      <c r="F16" s="457">
        <f>IF(Eingabetabelle!G71="Nein",0,IF(Eingabetabelle!G70=0,"",Eingabetabelle!G70))</f>
        <v>0</v>
      </c>
      <c r="G16" s="457">
        <f>IF(Eingabetabelle!H71="Nein",0,IF(Eingabetabelle!H70=0,"",Eingabetabelle!H70))</f>
        <v>0</v>
      </c>
    </row>
    <row r="17" spans="1:15" ht="15.75">
      <c r="A17" s="939"/>
      <c r="B17" s="940"/>
      <c r="C17" s="942">
        <f>IF(C16&gt;0,C16,C15)</f>
        <v>0</v>
      </c>
      <c r="D17" s="942">
        <f>IF(D16&gt;0,D16,D15)</f>
        <v>0</v>
      </c>
      <c r="E17" s="942">
        <f>IF(E16&gt;0,E16,E15)</f>
        <v>0</v>
      </c>
      <c r="F17" s="942">
        <f>IF(F16&gt;0,F16,F15)</f>
        <v>0</v>
      </c>
      <c r="G17" s="943">
        <f>IF(G16&gt;0,G16,G15)</f>
        <v>0</v>
      </c>
    </row>
    <row r="18" spans="1:15" ht="15.75">
      <c r="A18" s="939"/>
      <c r="B18" s="946">
        <f>SUM(C18:G18)</f>
        <v>0</v>
      </c>
      <c r="C18" s="942">
        <f>IF(C16&gt;0,MIN(C15/2,C16),0)</f>
        <v>0</v>
      </c>
      <c r="D18" s="942">
        <f>IF(D16&gt;0,MIN(D15/2,D16),0)</f>
        <v>0</v>
      </c>
      <c r="E18" s="942">
        <f>IF(E16&gt;0,MIN(E15/2,E16),0)</f>
        <v>0</v>
      </c>
      <c r="F18" s="942">
        <f>IF(F16&gt;0,MIN(F15/2,F16),0)</f>
        <v>0</v>
      </c>
      <c r="G18" s="942">
        <f>IF(G16&gt;0,MIN(G15/2,G16),0)</f>
        <v>0</v>
      </c>
      <c r="J18" s="934"/>
      <c r="K18" s="457"/>
      <c r="L18" s="457"/>
      <c r="M18" s="457"/>
      <c r="N18" s="457"/>
      <c r="O18" s="457"/>
    </row>
    <row r="19" spans="1:15" ht="15.75">
      <c r="A19" s="939" t="s">
        <v>2435</v>
      </c>
      <c r="B19" s="940"/>
      <c r="C19" s="949">
        <f>IF(C20&gt;0,MIN(VLOOKUP($E$4,Bedarfssätze!$B$132:$H$140,7),Eingabetabelle!D72),0)</f>
        <v>0</v>
      </c>
      <c r="D19" s="949">
        <f>IF(D20&gt;0,MIN(VLOOKUP($E$4,Bedarfssätze!$B$132:$H$140,7),Eingabetabelle!E72),0)</f>
        <v>0</v>
      </c>
      <c r="E19" s="949">
        <f>IF(E20&gt;0,MIN(VLOOKUP($E$4,Bedarfssätze!$B$132:$H$140,7),Eingabetabelle!F72),0)</f>
        <v>0</v>
      </c>
      <c r="F19" s="949">
        <f>IF(F20&gt;0,MIN(VLOOKUP($E$4,Bedarfssätze!$B$132:$H$140,7),Eingabetabelle!G72),0)</f>
        <v>0</v>
      </c>
      <c r="G19" s="949">
        <f>IF(G20&gt;0,MIN(VLOOKUP($E$4,Bedarfssätze!$B$132:$H$140,7),Eingabetabelle!H72),0)</f>
        <v>0</v>
      </c>
    </row>
    <row r="20" spans="1:15" ht="15.75">
      <c r="A20" s="954" t="s">
        <v>2436</v>
      </c>
      <c r="B20" s="955">
        <f>SUM(C20:G20)</f>
        <v>0</v>
      </c>
      <c r="C20" s="482">
        <f>IF(Eingabetabelle!D71="Nein",0,IF(Eingabetabelle!D72=0,"",VLOOKUP($E$4,Bedarfssätze!$B132:$H$140,5)))</f>
        <v>0</v>
      </c>
      <c r="D20" s="482">
        <f>IF(Eingabetabelle!E71="Nein",0,IF(Eingabetabelle!E72=0,"",VLOOKUP($E$4,Bedarfssätze!$B132:$H$140,5)))</f>
        <v>0</v>
      </c>
      <c r="E20" s="482">
        <f>IF(Eingabetabelle!F71="Nein",0,IF(Eingabetabelle!F72=0,"",VLOOKUP($E$4,Bedarfssätze!$B132:$H$140,5)))</f>
        <v>0</v>
      </c>
      <c r="F20" s="482">
        <f>IF(Eingabetabelle!G71="Nein",0,IF(Eingabetabelle!G72=0,"",VLOOKUP($E$4,Bedarfssätze!$B132:$H$140,5)))</f>
        <v>0</v>
      </c>
      <c r="G20" s="482">
        <f>IF(Eingabetabelle!H71="Nein",0,IF(Eingabetabelle!H72=0,"",VLOOKUP($E$4,Bedarfssätze!$B132:$H$140,5)))</f>
        <v>0</v>
      </c>
    </row>
    <row r="21" spans="1:15" ht="15.75">
      <c r="A21" s="963"/>
      <c r="B21" s="964"/>
      <c r="C21" s="549"/>
      <c r="D21" s="549"/>
      <c r="E21" s="549"/>
      <c r="F21" s="549"/>
      <c r="G21" s="550"/>
    </row>
    <row r="22" spans="1:15" ht="17.25">
      <c r="A22" s="967" t="s">
        <v>2285</v>
      </c>
      <c r="B22" s="968"/>
      <c r="C22" s="1985" t="s">
        <v>2286</v>
      </c>
      <c r="D22" s="1985"/>
      <c r="E22" s="1985"/>
      <c r="F22" s="1985"/>
      <c r="G22" s="1985"/>
    </row>
    <row r="23" spans="1:15" ht="15.75">
      <c r="A23" s="1540" t="s">
        <v>2437</v>
      </c>
      <c r="B23" s="934"/>
      <c r="C23" s="457">
        <f>IF(Eingabetabelle!D71="Ja",0,IF(Eingabetabelle!D70=0,0,Eingabetabelle!D70))</f>
        <v>0</v>
      </c>
      <c r="D23" s="457">
        <f>IF(Eingabetabelle!E71="Ja",0,IF(Eingabetabelle!E70=0,0,Eingabetabelle!E70))</f>
        <v>166.69</v>
      </c>
      <c r="E23" s="457">
        <f>IF(Eingabetabelle!F71="Ja",0,IF(Eingabetabelle!F70=0,0,Eingabetabelle!F70))</f>
        <v>0</v>
      </c>
      <c r="F23" s="457">
        <f>IF(Eingabetabelle!G71="Ja",0,IF(Eingabetabelle!G70=0,0,Eingabetabelle!G70))</f>
        <v>0</v>
      </c>
      <c r="G23" s="529">
        <f>IF(Eingabetabelle!H71="Ja",0,IF(Eingabetabelle!H70=0,0,Eingabetabelle!H70))</f>
        <v>0</v>
      </c>
    </row>
    <row r="24" spans="1:15" ht="15.75">
      <c r="A24" s="1540" t="s">
        <v>2438</v>
      </c>
      <c r="B24" s="934"/>
      <c r="C24" s="457">
        <f>IF(Eingabetabelle!D71="Ja",0,IF(Eingabetabelle!D87=0,0,Eingabetabelle!D87))</f>
        <v>0</v>
      </c>
      <c r="D24" s="457">
        <f>IF(Eingabetabelle!E71="Ja",0,IF(Eingabetabelle!E87=0,0,Eingabetabelle!E87))</f>
        <v>0</v>
      </c>
      <c r="E24" s="457">
        <f>IF(Eingabetabelle!F71="Ja",0,IF(Eingabetabelle!F87=0,0,Eingabetabelle!F87))</f>
        <v>0</v>
      </c>
      <c r="F24" s="457">
        <f>IF(Eingabetabelle!G71="Ja",0,IF(Eingabetabelle!G87=0,0,Eingabetabelle!G87))</f>
        <v>0</v>
      </c>
      <c r="G24" s="529">
        <f>IF(Eingabetabelle!H71="Ja",0,IF(Eingabetabelle!H87=0,0,Eingabetabelle!H87))</f>
        <v>0</v>
      </c>
    </row>
    <row r="25" spans="1:15" ht="15.75">
      <c r="A25" s="971" t="s">
        <v>2289</v>
      </c>
      <c r="B25" s="534"/>
      <c r="C25" s="457"/>
      <c r="D25" s="457"/>
      <c r="E25" s="457"/>
      <c r="F25" s="457"/>
      <c r="G25" s="529"/>
    </row>
    <row r="26" spans="1:15" ht="15.75">
      <c r="A26" s="933" t="s">
        <v>2290</v>
      </c>
      <c r="B26" s="934"/>
      <c r="C26" s="457">
        <f>IF(Eingabetabelle!D71="Ja",0,IF(Eingabetabelle!D70=0,0,Eingabetabelle!D72))</f>
        <v>0</v>
      </c>
      <c r="D26" s="457">
        <f>IF(Eingabetabelle!E71="Ja",0,IF(Eingabetabelle!E70=0,0,Eingabetabelle!E72))</f>
        <v>33.450000000000003</v>
      </c>
      <c r="E26" s="457">
        <f>IF(Eingabetabelle!F71="Ja",0,IF(Eingabetabelle!F70=0,0,Eingabetabelle!F72))</f>
        <v>0</v>
      </c>
      <c r="F26" s="457">
        <f>IF(Eingabetabelle!G71="Ja",0,IF(Eingabetabelle!G70=0,0,Eingabetabelle!G72))</f>
        <v>0</v>
      </c>
      <c r="G26" s="529">
        <f>IF(Eingabetabelle!H71="Ja",0,IF(Eingabetabelle!H70=0,0,Eingabetabelle!H72))</f>
        <v>0</v>
      </c>
      <c r="I26" s="529"/>
    </row>
    <row r="27" spans="1:15" ht="15.75">
      <c r="A27" s="954" t="s">
        <v>2291</v>
      </c>
      <c r="B27" s="574"/>
      <c r="C27" s="482"/>
      <c r="D27" s="482"/>
      <c r="E27" s="482"/>
      <c r="F27" s="482"/>
      <c r="G27" s="532"/>
    </row>
    <row r="28" spans="1:15" ht="15.75">
      <c r="A28" s="981"/>
      <c r="B28" s="982">
        <f>SUM(C28:G28)</f>
        <v>200.14</v>
      </c>
      <c r="C28" s="983">
        <f>C18+C20+C50+C51+C57</f>
        <v>0</v>
      </c>
      <c r="D28" s="983">
        <f>D18+D20+D50+D51+D57</f>
        <v>200.14</v>
      </c>
      <c r="E28" s="983">
        <f>E18+E20+E50+E51+E57</f>
        <v>0</v>
      </c>
      <c r="F28" s="983">
        <f>F18+F20+F50+F51+F57</f>
        <v>0</v>
      </c>
      <c r="G28" s="983">
        <f>G18+G20+G50+G51+G57</f>
        <v>0</v>
      </c>
    </row>
    <row r="29" spans="1:15" ht="15.75">
      <c r="A29" s="317"/>
      <c r="B29" s="317"/>
      <c r="C29" s="317"/>
      <c r="D29" s="317"/>
      <c r="E29" s="317"/>
      <c r="F29" s="317"/>
      <c r="G29" s="317"/>
    </row>
    <row r="30" spans="1:15" ht="25.5">
      <c r="A30" s="1979" t="s">
        <v>2292</v>
      </c>
      <c r="B30" s="1979"/>
      <c r="C30" s="1979"/>
      <c r="D30" s="1979"/>
      <c r="E30" s="1979"/>
      <c r="F30" s="1979"/>
      <c r="G30" s="1979"/>
    </row>
    <row r="31" spans="1:15" ht="15.75">
      <c r="A31" s="987"/>
      <c r="B31" s="988"/>
      <c r="C31" s="989" t="str">
        <f>Zusatzeingaben!C4</f>
        <v>Antragsteller</v>
      </c>
      <c r="D31" s="989" t="str">
        <f>Zusatzeingaben!D4</f>
        <v>Partner(in)</v>
      </c>
      <c r="E31" s="989" t="str">
        <f>Zusatzeingaben!E4</f>
        <v>Kind 1</v>
      </c>
      <c r="F31" s="989" t="s">
        <v>145</v>
      </c>
      <c r="G31" s="990" t="s">
        <v>146</v>
      </c>
    </row>
    <row r="32" spans="1:15" ht="17.25">
      <c r="A32" s="994" t="s">
        <v>2281</v>
      </c>
      <c r="B32" s="995"/>
      <c r="C32" s="996"/>
      <c r="D32" s="997"/>
      <c r="E32" s="997"/>
      <c r="F32" s="997"/>
      <c r="G32" s="998"/>
    </row>
    <row r="33" spans="1:7" ht="15.75">
      <c r="A33" s="999">
        <f>IF(B33&gt;0,"Bescheinigung Hilfebedürftigkeit für PKV",0)</f>
        <v>0</v>
      </c>
      <c r="B33" s="1000">
        <f>COUNTIF(C33:G33,"halber Basistarif")</f>
        <v>0</v>
      </c>
      <c r="C33" s="1001">
        <f>IF(AND(OR(C16=0,C16&gt;C15/2),C17&gt;0,C18&lt;=Z!$B$149*-1),"halber Basistarif",0)</f>
        <v>0</v>
      </c>
      <c r="D33" s="1001">
        <f>IF(AND(OR(D16=0,D16&gt;D15/2),D17&gt;0,D18&lt;=Z!$B$149*-1),"halber Basistarif",0)</f>
        <v>0</v>
      </c>
      <c r="E33" s="1001">
        <f>IF(AND(OR(E16=0,E16&gt;E15/2),E17&gt;0,E18&lt;=Z!$B$149*-1),"halber Basistarif",0)</f>
        <v>0</v>
      </c>
      <c r="F33" s="1001">
        <f>IF(AND(OR(F16=0,F16&gt;F15/2),F17&gt;0,F18&lt;=Z!$B$149*-1),"halber Basistarif",0)</f>
        <v>0</v>
      </c>
      <c r="G33" s="1002">
        <f>IF(AND(OR(G16=0,G16&gt;G15/2),G17&gt;0,G18&lt;=Z!$B$149*-1),"halber Basistarif",0)</f>
        <v>0</v>
      </c>
    </row>
    <row r="34" spans="1:7" ht="15.75">
      <c r="A34" s="1006" t="s">
        <v>2293</v>
      </c>
      <c r="B34" s="1007"/>
      <c r="C34" s="1008">
        <f>IF(C15&gt;0,C15/2,0)</f>
        <v>0</v>
      </c>
      <c r="D34" s="1008">
        <f>IF(D15&gt;0,D15/2,0)</f>
        <v>0</v>
      </c>
      <c r="E34" s="1008">
        <f>IF(E15&gt;0,E15/2,0)</f>
        <v>0</v>
      </c>
      <c r="F34" s="1008">
        <f>IF(F15&gt;0,F15/2,0)</f>
        <v>0</v>
      </c>
      <c r="G34" s="1009">
        <f>IF(G15&gt;0,G15/2,0)</f>
        <v>0</v>
      </c>
    </row>
    <row r="35" spans="1:7" ht="15.75">
      <c r="A35" s="863" t="s">
        <v>2283</v>
      </c>
      <c r="B35" s="518"/>
      <c r="C35" s="1008">
        <f>IF(Z!$B$149*-1&lt;$B$18,C16,0)</f>
        <v>0</v>
      </c>
      <c r="D35" s="1008">
        <f>IF(Z!$B$149*-1&lt;$B$18,D16,0)</f>
        <v>0</v>
      </c>
      <c r="E35" s="1008">
        <f>IF(Z!$B$149*-1&lt;$B$18,E16,0)</f>
        <v>0</v>
      </c>
      <c r="F35" s="1008">
        <f>IF(Z!$B$149*-1&lt;$B$18,F16,0)</f>
        <v>0</v>
      </c>
      <c r="G35" s="1009">
        <f>IF(Z!$B$149*-1&lt;$B$18,G16,0)</f>
        <v>0</v>
      </c>
    </row>
    <row r="36" spans="1:7" ht="15.75">
      <c r="A36" s="863" t="s">
        <v>2294</v>
      </c>
      <c r="B36" s="1015">
        <f>COUNTIF(C36:G36,"&gt;0")</f>
        <v>0</v>
      </c>
      <c r="C36" s="1016">
        <f>IF(AND(C35&gt;0,C35&lt;C34),C35,C34)</f>
        <v>0</v>
      </c>
      <c r="D36" s="1016">
        <f>IF(AND(D35&gt;0,D35&lt;D34),D35,D34)</f>
        <v>0</v>
      </c>
      <c r="E36" s="1016">
        <f>IF(AND(E35&gt;0,E35&lt;E34),E35,E34)</f>
        <v>0</v>
      </c>
      <c r="F36" s="1016">
        <f>IF(AND(F35&gt;0,F35&lt;F34),F35,F34)</f>
        <v>0</v>
      </c>
      <c r="G36" s="1017">
        <f>IF(AND(G35&gt;0,G35&lt;G34),G35,G34)</f>
        <v>0</v>
      </c>
    </row>
    <row r="37" spans="1:7" ht="15.75">
      <c r="A37" s="863">
        <f>IF(B37&gt;0,"Einkommensüberschuss",0)</f>
        <v>0</v>
      </c>
      <c r="B37" s="1015">
        <f>COUNTIF(C37:G37,"&gt;0")</f>
        <v>0</v>
      </c>
      <c r="C37" s="1016">
        <f>IF(C36&gt;0,Z!$B149,0)</f>
        <v>0</v>
      </c>
      <c r="D37" s="1016">
        <f>IF(D36&gt;0,Z!$B149,0)</f>
        <v>0</v>
      </c>
      <c r="E37" s="1016">
        <f>IF(E36&gt;0,Z!$B149,0)</f>
        <v>0</v>
      </c>
      <c r="F37" s="1016">
        <f>IF(F36&gt;0,Z!$B149,0)</f>
        <v>0</v>
      </c>
      <c r="G37" s="1009">
        <f>IF(G36&gt;0,Z!$B149,0)</f>
        <v>0</v>
      </c>
    </row>
    <row r="38" spans="1:7" ht="17.25">
      <c r="A38" s="1895" t="s">
        <v>2439</v>
      </c>
      <c r="B38" s="1896">
        <f>SUM(C38:G38)</f>
        <v>0</v>
      </c>
      <c r="C38" s="1020">
        <f>IF(AND(C18&gt;0,C9="nein"),"nein",IF(C37&gt;0,C36-C37,C36))</f>
        <v>0</v>
      </c>
      <c r="D38" s="1020">
        <f>IF(AND(D18&gt;0,D9="nein"),"nein",IF(D37&gt;0,D36-D37,D36))</f>
        <v>0</v>
      </c>
      <c r="E38" s="1020">
        <f>IF(AND(E18&gt;0,E9="nein"),"nein",IF(E37&gt;0,E36-E37,E36))</f>
        <v>0</v>
      </c>
      <c r="F38" s="1020">
        <f>IF(AND(F18&gt;0,F9="nein"),"nein",IF(F37&gt;0,F36-F37,F36))</f>
        <v>0</v>
      </c>
      <c r="G38" s="1021">
        <f>IF(AND(G18&gt;0,G9="nein"),"nein",IF(G37&gt;0,G36-G37,G36))</f>
        <v>0</v>
      </c>
    </row>
    <row r="39" spans="1:7" ht="15.75">
      <c r="A39" s="400"/>
      <c r="B39" s="1026"/>
      <c r="C39" s="1027"/>
      <c r="D39" s="1027"/>
      <c r="E39" s="1027"/>
      <c r="F39" s="1027"/>
      <c r="G39" s="1028"/>
    </row>
    <row r="40" spans="1:7" ht="17.25">
      <c r="A40" s="1033" t="s">
        <v>2296</v>
      </c>
      <c r="B40" s="1034"/>
      <c r="C40" s="1035"/>
      <c r="D40" s="1035"/>
      <c r="E40" s="1035"/>
      <c r="F40" s="1035"/>
      <c r="G40" s="1036"/>
    </row>
    <row r="41" spans="1:7" ht="15.75">
      <c r="A41" s="933" t="s">
        <v>2297</v>
      </c>
      <c r="B41" s="1015"/>
      <c r="C41" s="1016">
        <f>IF(AND(C20&gt;0,Z!$B$149*-1&lt;$B$18+$B$20),VLOOKUP($E$4,Bedarfssätze!$B$132:$H$136,7),0)</f>
        <v>0</v>
      </c>
      <c r="D41" s="1016">
        <f>IF(AND(D20&gt;0,Z!$B$149*-1&lt;$B$18+$B$20),VLOOKUP($E$4,Bedarfssätze!$B$132:$H$136,7),0)</f>
        <v>0</v>
      </c>
      <c r="E41" s="1016">
        <f>IF(AND(E20&gt;0,Z!$B$149*-1&lt;$B$18+$B$20),VLOOKUP($E$4,Bedarfssätze!$B$132:$H$136,7),0)</f>
        <v>0</v>
      </c>
      <c r="F41" s="1016">
        <f>IF(AND(F20&gt;0,Z!$B$149*-1&lt;$B$18+$B$20),VLOOKUP($E$4,Bedarfssätze!$B$132:$H$136,7),0)</f>
        <v>0</v>
      </c>
      <c r="G41" s="1017">
        <f>IF(AND(G20&gt;0,Z!$B$149*-1&lt;$B$18+$B$20),VLOOKUP($E$4,Bedarfssätze!$B$132:$H$136,7),0)</f>
        <v>0</v>
      </c>
    </row>
    <row r="42" spans="1:7" ht="15.75">
      <c r="A42" s="933" t="s">
        <v>2298</v>
      </c>
      <c r="B42" s="1015"/>
      <c r="C42" s="1016">
        <f>C19</f>
        <v>0</v>
      </c>
      <c r="D42" s="1016">
        <f>D19</f>
        <v>0</v>
      </c>
      <c r="E42" s="1016">
        <f>E19</f>
        <v>0</v>
      </c>
      <c r="F42" s="1016">
        <f>F19</f>
        <v>0</v>
      </c>
      <c r="G42" s="1009">
        <f>G19</f>
        <v>0</v>
      </c>
    </row>
    <row r="43" spans="1:7" ht="15.75">
      <c r="A43" s="933" t="s">
        <v>2294</v>
      </c>
      <c r="B43" s="1015">
        <f>COUNTIF(C43:G43,"&gt;0")</f>
        <v>0</v>
      </c>
      <c r="C43" s="1016">
        <f>MIN(C41,C42)</f>
        <v>0</v>
      </c>
      <c r="D43" s="1016">
        <f>MIN(D41,D42)</f>
        <v>0</v>
      </c>
      <c r="E43" s="1016">
        <f>MIN(E41,E42)</f>
        <v>0</v>
      </c>
      <c r="F43" s="1016">
        <f>MIN(F41,F42)</f>
        <v>0</v>
      </c>
      <c r="G43" s="1017">
        <f>MIN(G41,G42)</f>
        <v>0</v>
      </c>
    </row>
    <row r="44" spans="1:7" ht="15.75">
      <c r="A44" s="1038">
        <f>IF(B44&gt;0,"Einkommensüberschuss",0)</f>
        <v>0</v>
      </c>
      <c r="B44" s="1015">
        <f>COUNTIF(C44:G44,"&gt;0")</f>
        <v>0</v>
      </c>
      <c r="C44" s="1016">
        <f>IF(AND(C20&gt;0,$B$43=1,Z!$B$149&lt;0,Z!C149*-1&lt;&gt;C37),Z!$B$149*-1-C18,IF(AND(C20&gt;0,$B$43&gt;1,Z!$B$149&lt;0,Z!C149*-1&lt;&gt;C37),Z!C149*-1-C18,0))</f>
        <v>0</v>
      </c>
      <c r="D44" s="1016">
        <f>IF(AND(D20&gt;0,$B$43=1,Z!$B$149&lt;0,Z!D149*-1&lt;&gt;D37),Z!$B$149*-1-D18,IF(AND(D20&gt;0,$B$43&gt;1,Z!$B$149&lt;0,Z!D149*-1&lt;&gt;D37),Z!D149*-1-D18,0))</f>
        <v>0</v>
      </c>
      <c r="E44" s="1016">
        <f>IF(AND(E20&gt;0,$B$43=1,Z!$B$149&lt;0,Z!E149*-1&lt;&gt;E37),Z!$B$149*-1-E18,IF(AND(E20&gt;0,$B$43&gt;1,Z!$B$149&lt;0,Z!E149*-1&lt;&gt;E37),Z!E149*-1-E18,0))</f>
        <v>0</v>
      </c>
      <c r="F44" s="1016">
        <f>IF(AND(F20&gt;0,$B$43=1,Z!$B$149&lt;0,Z!F149*-1&lt;&gt;F37),Z!$B$149*-1-F18,IF(AND(F20&gt;0,$B$43&gt;1,Z!$B$149&lt;0,Z!F149*-1&lt;&gt;F37),Z!F149*-1-F18,0))</f>
        <v>0</v>
      </c>
      <c r="G44" s="1017">
        <f>IF(AND(G20&gt;0,$B$43=1,Z!$B$149&lt;0,Z!G149*-1&lt;&gt;G37),Z!$B$149*-1-G18,IF(AND(G20&gt;0,$B$43&gt;1,Z!$B$149&lt;0,Z!G149*-1&lt;&gt;G37),Z!G149*-1-G18,0))</f>
        <v>0</v>
      </c>
    </row>
    <row r="45" spans="1:7" ht="15.75">
      <c r="A45" s="1038">
        <f>IF(B45&gt;0,"Einkommensüberschuss",0)</f>
        <v>0</v>
      </c>
      <c r="B45" s="1015">
        <f>COUNTIF(C45:G45,"&gt;0")</f>
        <v>0</v>
      </c>
      <c r="C45" s="1039">
        <f>IF(C44&lt;0,0,C44)</f>
        <v>0</v>
      </c>
      <c r="D45" s="1039">
        <f>IF(D44&lt;0,0,D44)</f>
        <v>0</v>
      </c>
      <c r="E45" s="1039">
        <f>IF(E44&lt;0,0,E44)</f>
        <v>0</v>
      </c>
      <c r="F45" s="1039">
        <f>IF(F44&lt;0,0,F44)</f>
        <v>0</v>
      </c>
      <c r="G45" s="1040">
        <f>IF(G44&lt;0,0,G44)</f>
        <v>0</v>
      </c>
    </row>
    <row r="46" spans="1:7" ht="17.25">
      <c r="A46" s="1897" t="s">
        <v>2440</v>
      </c>
      <c r="B46" s="1896">
        <f>SUM(C46:G46)</f>
        <v>0</v>
      </c>
      <c r="C46" s="1043">
        <f>IF(AND(C20&gt;0,C9="nein"),"nein",IF(C45&gt;0,C43-C45,C43))</f>
        <v>0</v>
      </c>
      <c r="D46" s="1043">
        <f>IF(AND(D20&gt;0,D9="nein"),"nein",IF(D45&gt;0,D43-D45,D43))</f>
        <v>0</v>
      </c>
      <c r="E46" s="1043">
        <f>IF(AND(E20&gt;0,E9="nein"),"nein",IF(E45&gt;0,E43-E45,E43))</f>
        <v>0</v>
      </c>
      <c r="F46" s="1043">
        <f>IF(AND(F20&gt;0,F9="nein"),"nein",IF(F45&gt;0,F43-F45,F43))</f>
        <v>0</v>
      </c>
      <c r="G46" s="1044">
        <f>IF(AND(G20&gt;0,G9="nein"),"nein",IF(G45&gt;0,G43-G45,G43))</f>
        <v>0</v>
      </c>
    </row>
    <row r="47" spans="1:7" ht="15.75">
      <c r="A47" s="1541"/>
      <c r="B47" s="1049"/>
      <c r="C47" s="1976" t="s">
        <v>2300</v>
      </c>
      <c r="D47" s="1976"/>
      <c r="E47" s="1976"/>
      <c r="F47" s="1976"/>
      <c r="G47" s="1976"/>
    </row>
    <row r="48" spans="1:7" ht="17.25">
      <c r="A48" s="1054" t="s">
        <v>2285</v>
      </c>
      <c r="B48" s="1055"/>
      <c r="C48" s="1056"/>
      <c r="D48" s="1056"/>
      <c r="E48" s="1056"/>
      <c r="F48" s="1056"/>
      <c r="G48" s="1057"/>
    </row>
    <row r="49" spans="1:7" ht="15.75">
      <c r="A49" s="1059" t="str">
        <f>IF(B49&gt;0,"Zuschuss nach § 26 nicht möglich, da ALG II Bezug",0)</f>
        <v>Zuschuss nach § 26 nicht möglich, da ALG II Bezug</v>
      </c>
      <c r="B49" s="1060">
        <f>COUNTIF(C49:G49,"Hinweis")</f>
        <v>1</v>
      </c>
      <c r="C49" s="1061">
        <f>IF(AND(C23+C24&gt;0,Z!$B$149&gt;0,C10="ja"),"Hinweis",0)</f>
        <v>0</v>
      </c>
      <c r="D49" s="1061" t="str">
        <f>IF(AND(D23+D24&gt;0,Z!$B$149&gt;0,D10="ja"),"Hinweis",0)</f>
        <v>Hinweis</v>
      </c>
      <c r="E49" s="1061">
        <f>IF(AND(E23+E24&gt;0,Z!$B$149&gt;0,E10="ja"),"Hinweis",0)</f>
        <v>0</v>
      </c>
      <c r="F49" s="1061">
        <f>IF(AND(F23+F24&gt;0,Z!$B$149&gt;0,F10="ja"),"Hinweis",0)</f>
        <v>0</v>
      </c>
      <c r="G49" s="1062">
        <f>IF(AND(G23+G24&gt;0,Z!$B$149&gt;0,G10="ja"),"Hinweis",0)</f>
        <v>0</v>
      </c>
    </row>
    <row r="50" spans="1:7" ht="15.75">
      <c r="A50" s="863" t="s">
        <v>2301</v>
      </c>
      <c r="B50" s="1015">
        <f>COUNTIF(C50:G50,"&gt;0")</f>
        <v>1</v>
      </c>
      <c r="C50" s="1016">
        <f>IF(C23&gt;0,C23-C25,0)</f>
        <v>0</v>
      </c>
      <c r="D50" s="1016">
        <f>IF(D23&gt;0,D23-D25,0)</f>
        <v>166.69</v>
      </c>
      <c r="E50" s="1016">
        <f>IF(E23&gt;0,E23-E25,0)</f>
        <v>0</v>
      </c>
      <c r="F50" s="1016">
        <f>IF(F23&gt;0,F23-F25,0)</f>
        <v>0</v>
      </c>
      <c r="G50" s="1017">
        <f>IF(G23&gt;0,G23-G25,0)</f>
        <v>0</v>
      </c>
    </row>
    <row r="51" spans="1:7" ht="15.75">
      <c r="A51" s="863" t="s">
        <v>2441</v>
      </c>
      <c r="B51" s="1015">
        <f>COUNTIF(C51:G51,"&gt;0")</f>
        <v>0</v>
      </c>
      <c r="C51" s="1016">
        <f>IF(C24&gt;0,C24-C25,0)</f>
        <v>0</v>
      </c>
      <c r="D51" s="1016">
        <f>IF(D24&gt;0,D24-D25,0)</f>
        <v>0</v>
      </c>
      <c r="E51" s="1016">
        <f>IF(E24&gt;0,E24-E25,0)</f>
        <v>0</v>
      </c>
      <c r="F51" s="1016">
        <f>IF(F24&gt;0,F24-F25,0)</f>
        <v>0</v>
      </c>
      <c r="G51" s="1017">
        <f>IF(G24&gt;0,G24-G25,0)</f>
        <v>0</v>
      </c>
    </row>
    <row r="52" spans="1:7" ht="15.75">
      <c r="A52" s="863">
        <f>IF(B52&gt;0,"./. vom Einkommen abzusetzender Betrag",0)</f>
        <v>0</v>
      </c>
      <c r="B52" s="1076">
        <f>SUM(C52:G52)</f>
        <v>0</v>
      </c>
      <c r="C52" s="522">
        <f>IF(AND(C51&gt;0,Z!$B$149&gt;0,Z!C70&gt;0),C51,IF(AND(Z!C70&gt;0,C51&gt;0,Z!$B$149&lt;0),MIN(Z!$B$149*-1-C58,C51),0))</f>
        <v>0</v>
      </c>
      <c r="D52" s="522">
        <f>IF(AND(D51&gt;0,Z!$B$149&gt;0,Z!D70&gt;0),D51,IF(AND(Z!D70&gt;0,D51&gt;0,Z!$B$149&lt;0),MIN(Z!$B$149*-1-D58,D51),0))</f>
        <v>0</v>
      </c>
      <c r="E52" s="522">
        <f>IF(AND(E51&gt;0,Z!$B$149&gt;0,Z!E70&gt;0),E51,IF(AND(Z!E70&gt;0,E51&gt;0,Z!$B$149&lt;0),MIN(Z!$B$149*-1-E58,E51),0))</f>
        <v>0</v>
      </c>
      <c r="F52" s="522">
        <f>IF(AND(F51&gt;0,Z!$B$149&gt;0,Z!F70&gt;0),F51,IF(AND(Z!F70&gt;0,F51&gt;0,Z!$B$149&lt;0),MIN(Z!$B$149*-1-F58,F51),0))</f>
        <v>0</v>
      </c>
      <c r="G52" s="523">
        <f>IF(AND(G51&gt;0,Z!$B$149&gt;0,Z!G70&gt;0),G51,IF(AND(Z!G70&gt;0,G51&gt;0,Z!$B$149&lt;0),MIN(Z!$B$149*-1-G58,G51),0))</f>
        <v>0</v>
      </c>
    </row>
    <row r="53" spans="1:7" ht="15.75">
      <c r="A53" s="863">
        <f>IF(B53&gt;0,"./. Einkommensüberschuss",0)</f>
        <v>0</v>
      </c>
      <c r="B53" s="1076">
        <f>SUM(C53:G53)</f>
        <v>0</v>
      </c>
      <c r="C53" s="522">
        <f>IF(AND(C50+C51&gt;0,$B$50=1,Z!$B$149&lt;0,Z!$B$149*-1&gt;=$B$58),MIN(Z!$B$149*-1-C58,C50),IF(AND(C50+C51&gt;0,$B$50&gt;1,Z!$B$149&lt;0,Z!$B$149*-1&gt;=$B$58),MIN(Z!C149*-1-C58,C50),0))</f>
        <v>0</v>
      </c>
      <c r="D53" s="522">
        <f>IF(AND(D50+D51&gt;0,$B$50=1,Z!$B$149&lt;0,Z!$B$149*-1&gt;=$B$58),MIN(Z!$B$149*-1-D58,D50),IF(AND(D50+D51&gt;0,$B$50&gt;1,Z!$B$149&lt;0,Z!$B$149*-1&gt;=$B$58),MIN(Z!D149*-1-D58,D50),0))</f>
        <v>0</v>
      </c>
      <c r="E53" s="522">
        <f>IF(AND(E50+E51&gt;0,$B$50=1,Z!$B$149&lt;0,Z!$B$149*-1&gt;=$B$58),MIN(Z!$B$149*-1-E58,E50),IF(AND(E50+E51&gt;0,$B$50&gt;1,Z!$B$149&lt;0,Z!$B$149*-1&gt;=$B$58),MIN(Z!E149*-1-E58,E50),0))</f>
        <v>0</v>
      </c>
      <c r="F53" s="522">
        <f>IF(AND(F50+F51&gt;0,$B$50=1,Z!$B$149&lt;0,Z!$B$149*-1&gt;=$B$58),MIN(Z!$B$149*-1-F58,F50),IF(AND(F50+F51&gt;0,$B$50&gt;1,Z!$B$149&lt;0,Z!$B$149*-1&gt;=$B$58),MIN(Z!F149*-1-F58,F50),0))</f>
        <v>0</v>
      </c>
      <c r="G53" s="523">
        <f>IF(AND(G50+G51&gt;0,$B$50=1,Z!$B$149&lt;0,Z!$B$149*-1&gt;=$B$58),MIN(Z!$B$149*-1-G58,G50),IF(AND(G50+G51&gt;0,$B$50&gt;1,Z!$B$149&lt;0,Z!$B$149*-1&gt;=$B$58),MIN(Z!G149*-1-G58,G50),0))</f>
        <v>0</v>
      </c>
    </row>
    <row r="54" spans="1:7" ht="17.25">
      <c r="A54" s="1081" t="s">
        <v>2303</v>
      </c>
      <c r="B54" s="1898">
        <f>SUM(C54:G54)</f>
        <v>0</v>
      </c>
      <c r="C54" s="1083">
        <f>IF(AND(C50+C51&gt;0,C9="nein"),"nein",IF(C49=0,C50+C51-C52-C53,0))</f>
        <v>0</v>
      </c>
      <c r="D54" s="1083">
        <f>IF(AND(D50+D51&gt;0,D9="nein"),"nein",IF(D49=0,D50+D51-D52-D53,0))</f>
        <v>0</v>
      </c>
      <c r="E54" s="1083">
        <f>IF(AND(E50+E51&gt;0,E9="nein"),"nein",IF(E49=0,E50+E51-E52-E53,0))</f>
        <v>0</v>
      </c>
      <c r="F54" s="1083">
        <f>IF(AND(F50+F51&gt;0,F9="nein"),"nein",IF(F49=0,F50+F51-F52-F53,0))</f>
        <v>0</v>
      </c>
      <c r="G54" s="1084">
        <f>IF(AND(G50+G51&gt;0,G9="nein"),"nein",IF(G49=0,G50+G51-G52-G53,0))</f>
        <v>0</v>
      </c>
    </row>
    <row r="55" spans="1:7" ht="15.75">
      <c r="A55" s="1088">
        <f>IF(AND(B53&gt;0,Z!B149*-1&lt;&gt;B53),"Achtung: Einkommensüberschüsse überprüfen!",0)</f>
        <v>0</v>
      </c>
      <c r="B55" s="1089"/>
      <c r="C55" s="1542"/>
      <c r="D55" s="1542"/>
      <c r="E55" s="1542"/>
      <c r="F55" s="1542"/>
      <c r="G55" s="1543"/>
    </row>
    <row r="56" spans="1:7" ht="17.25">
      <c r="A56" s="1098" t="s">
        <v>2304</v>
      </c>
      <c r="B56" s="1099"/>
      <c r="C56" s="1100"/>
      <c r="D56" s="1100"/>
      <c r="E56" s="1100"/>
      <c r="F56" s="1100"/>
      <c r="G56" s="1101"/>
    </row>
    <row r="57" spans="1:7" ht="15.75">
      <c r="A57" s="933" t="s">
        <v>2305</v>
      </c>
      <c r="B57" s="1015">
        <f>COUNTIF(C57:G57,"&gt;0")</f>
        <v>1</v>
      </c>
      <c r="C57" s="1016">
        <f>C26-C27</f>
        <v>0</v>
      </c>
      <c r="D57" s="1016">
        <f>D26-D27</f>
        <v>33.450000000000003</v>
      </c>
      <c r="E57" s="1016">
        <f>E26-E27</f>
        <v>0</v>
      </c>
      <c r="F57" s="1016">
        <f>F26-F27</f>
        <v>0</v>
      </c>
      <c r="G57" s="1017">
        <f>G26-G27</f>
        <v>0</v>
      </c>
    </row>
    <row r="58" spans="1:7" ht="15.75">
      <c r="A58" s="933">
        <f>IF(B58&gt;0,"./. vom Einkommen abzusetzender Betrag",0)</f>
        <v>0</v>
      </c>
      <c r="B58" s="1106">
        <f>SUM(C58:G58)</f>
        <v>0</v>
      </c>
      <c r="C58" s="1016">
        <f>IF(AND(Z!$B$149*-1&lt;$B$28,Z!C70&gt;0,Z!$B$149*-1-C52&lt;0),C57,IF(AND(Z!$B$149&lt;0,Z!C70&gt;0,Z!$B$149*-1-C52&gt;0),MIN(Z!$B$149*-1-C52,C57),0))</f>
        <v>0</v>
      </c>
      <c r="D58" s="1016">
        <f>IF(AND(Z!$B$149*-1&lt;$B$28,Z!D70&gt;0,Z!$B$149*-1-D52&lt;0),D57,IF(AND(Z!$B$149&lt;0,Z!D70&gt;0,Z!$B$149*-1-D52&gt;0),MIN(Z!$B$149*-1-D52,D57),0))</f>
        <v>0</v>
      </c>
      <c r="E58" s="1016">
        <f>IF(AND(Z!$B$149*-1&lt;$B$28,Z!E70&gt;0,Z!$B$149*-1-E52&lt;0),E57,IF(AND(Z!$B$149&lt;0,Z!E70&gt;0,Z!$B$149*-1-E52&gt;0),MIN(Z!$B$149*-1-E52,E57),0))</f>
        <v>0</v>
      </c>
      <c r="F58" s="1016">
        <f>IF(AND(Z!$B$149*-1&lt;$B$28,Z!F70&gt;0,Z!$B$149*-1-F52&lt;0),F57,IF(AND(Z!$B$149&lt;0,Z!F70&gt;0,Z!$B$149*-1-F52&gt;0),MIN(Z!$B$149*-1-F52,F57),0))</f>
        <v>0</v>
      </c>
      <c r="G58" s="1017">
        <f>IF(AND(Z!$B$149*-1&lt;$B$28,Z!G70&gt;0,Z!$B$149*-1-G52&lt;0),G57,IF(AND(Z!$B$149&lt;0,Z!G70&gt;0,Z!$B$149*-1-G52&gt;0),MIN(Z!$B$149*-1-G52,G57),0))</f>
        <v>0</v>
      </c>
    </row>
    <row r="59" spans="1:7" ht="15.75">
      <c r="A59" s="863">
        <f>IF(B59&gt;0,"./. Einkommensüberschuss",0)</f>
        <v>0</v>
      </c>
      <c r="B59" s="1106">
        <f>SUM(C59:G59)</f>
        <v>0</v>
      </c>
      <c r="C59" s="1016">
        <f>IF(C57=C58,0,IF(AND($B$57=1,Z!$B$149&lt;0,Z!$B$149*-1&gt;$B$28),Z!$B$149*-1,IF(AND($B$57&gt;1,Z!$B$149&lt;0,Z!$B$149*-1&gt;$B$28),Z!C149*-1,0)))</f>
        <v>0</v>
      </c>
      <c r="D59" s="1016">
        <f>IF(D57=D58,0,IF(AND($B$57=1,Z!$B$149&lt;0,Z!$B$149*-1&gt;$B$28),Z!$B$149*-1,IF(AND($B$57&gt;1,Z!$B$149&lt;0,Z!$B$149*-1&gt;$B$28),Z!D149*-1,0)))</f>
        <v>0</v>
      </c>
      <c r="E59" s="1016">
        <f>IF(E57=E58,0,IF(AND($B$57=1,Z!$B$149&lt;0,Z!$B$149*-1&gt;$B$28),Z!$B$149*-1,IF(AND($B$57&gt;1,Z!$B$149&lt;0,Z!$B$149*-1&gt;$B$28),Z!E149*-1,0)))</f>
        <v>0</v>
      </c>
      <c r="F59" s="1016">
        <f>IF(F57=F58,0,IF(AND($B$57=1,Z!$B$149&lt;0,Z!$B$149*-1&gt;$B$28),Z!$B$149*-1,IF(AND($B$57&gt;1,Z!$B$149&lt;0,Z!$B$149*-1&gt;$B$28),Z!F149*-1,0)))</f>
        <v>0</v>
      </c>
      <c r="G59" s="1017">
        <f>IF(G57=G58,0,IF(AND($B$57=1,Z!$B$149&lt;0,Z!$B$149*-1&gt;$B$28),Z!$B$149*-1,IF(AND($B$57&gt;1,Z!$B$149&lt;0,Z!$B$149*-1&gt;$B$28),Z!G149*-1,0)))</f>
        <v>0</v>
      </c>
    </row>
    <row r="60" spans="1:7" ht="17.25">
      <c r="A60" s="1041" t="s">
        <v>2306</v>
      </c>
      <c r="B60" s="1899">
        <f>SUM(C60:G60)</f>
        <v>0</v>
      </c>
      <c r="C60" s="1043">
        <f>IF(AND(C57&gt;0,C9="nein"),"nein",IF(OR(C49&lt;&gt;0,C57-C58-C59&lt;0),0,C57-C58-C59))</f>
        <v>0</v>
      </c>
      <c r="D60" s="1043">
        <f>IF(AND(D57&gt;0,D9="nein"),"nein",IF(OR(D49&lt;&gt;0,D57-D58-D59&lt;0),0,D57-D58-D59))</f>
        <v>0</v>
      </c>
      <c r="E60" s="1043">
        <f>IF(AND(E57&gt;0,E9="nein"),"nein",IF(OR(E49&lt;&gt;0,E57-E58-E59&lt;0),0,E57-E58-E59))</f>
        <v>0</v>
      </c>
      <c r="F60" s="1043">
        <f>IF(AND(F57&gt;0,F9="nein"),"nein",IF(OR(F49&lt;&gt;0,F57-F58-F59&lt;0),0,F57-F58-F59))</f>
        <v>0</v>
      </c>
      <c r="G60" s="1044">
        <f>IF(AND(G57&gt;0,G9="nein"),"nein",IF(OR(G49&lt;&gt;0,G57-G58-G59&lt;0),0,G57-G58-G59))</f>
        <v>0</v>
      </c>
    </row>
    <row r="62" spans="1:7" ht="17.25">
      <c r="A62" s="1041" t="s">
        <v>2442</v>
      </c>
      <c r="B62" s="1043">
        <f>IF(Eingabetabelle!B160&lt;=0,B38+B46+B54+B60,0)</f>
        <v>0</v>
      </c>
    </row>
  </sheetData>
  <sheetProtection sheet="1" objects="1" scenarios="1"/>
  <mergeCells count="5">
    <mergeCell ref="A2:G2"/>
    <mergeCell ref="B4:C4"/>
    <mergeCell ref="C22:G22"/>
    <mergeCell ref="A30:G30"/>
    <mergeCell ref="C47:G47"/>
  </mergeCells>
  <conditionalFormatting sqref="A33">
    <cfRule type="cellIs" dxfId="3" priority="2" operator="equal">
      <formula>"Bescheinigung Hilfebedürftigkeit für PKV"</formula>
    </cfRule>
  </conditionalFormatting>
  <conditionalFormatting sqref="C55:G55">
    <cfRule type="cellIs" dxfId="2" priority="3" operator="equal">
      <formula>"Pflichtversicherung!"</formula>
    </cfRule>
  </conditionalFormatting>
  <conditionalFormatting sqref="A47">
    <cfRule type="cellIs" dxfId="1" priority="4" operator="equal">
      <formula>"Halbierung Höchstbeitrag durch PKV"</formula>
    </cfRule>
  </conditionalFormatting>
  <conditionalFormatting sqref="C33:G33">
    <cfRule type="cellIs" dxfId="0" priority="5" operator="notEqual">
      <formula>0</formula>
    </cfRule>
  </conditionalFormatting>
  <dataValidations count="2">
    <dataValidation operator="equal" allowBlank="1" showErrorMessage="1" sqref="K18:O18 C23:G27 I26">
      <formula1>0</formula1>
      <formula2>0</formula2>
    </dataValidation>
    <dataValidation operator="equal" allowBlank="1" showInputMessage="1" showErrorMessage="1" error="Wert liegt über Höchstbetrag für 2017!" sqref="C15:G20">
      <formula1>0</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&amp;CSeite &amp;P</oddFooter>
  </headerFooter>
</worksheet>
</file>

<file path=xl/worksheets/sheet3.xml><?xml version="1.0" encoding="utf-8"?>
<worksheet xmlns="http://schemas.openxmlformats.org/spreadsheetml/2006/main" xmlns:r="http://schemas.openxmlformats.org/officeDocument/2006/relationships">
  <dimension ref="A1:BL1050"/>
  <sheetViews>
    <sheetView showGridLines="0" topLeftCell="A248" zoomScale="118" zoomScaleNormal="118" workbookViewId="0">
      <selection activeCell="A247" sqref="A1:XFD247"/>
    </sheetView>
  </sheetViews>
  <sheetFormatPr baseColWidth="10" defaultColWidth="11.5703125" defaultRowHeight="12.75"/>
  <cols>
    <col min="1" max="1" width="47.85546875" customWidth="1"/>
    <col min="2" max="2" width="12.7109375" customWidth="1"/>
    <col min="3" max="9" width="12.28515625" customWidth="1"/>
    <col min="10" max="64" width="10.5703125" customWidth="1"/>
  </cols>
  <sheetData>
    <row r="1" spans="1:64" ht="27" hidden="1" customHeight="1">
      <c r="A1" s="1967" t="s">
        <v>137</v>
      </c>
      <c r="B1" s="1967"/>
      <c r="C1" s="1967"/>
      <c r="D1" s="1967"/>
      <c r="E1" s="1967"/>
      <c r="F1" s="1967"/>
      <c r="G1" s="1967"/>
      <c r="H1" s="1967"/>
      <c r="I1" s="1967"/>
      <c r="J1" s="284"/>
      <c r="K1" s="285">
        <f>(DATE(YEAR(Berechnung!E3),MONTH(Berechnung!E3),1))</f>
        <v>44774</v>
      </c>
      <c r="L1" s="286"/>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row>
    <row r="2" spans="1:64" ht="21.75" hidden="1" customHeight="1">
      <c r="A2" s="288" t="s">
        <v>138</v>
      </c>
      <c r="B2" s="1972"/>
      <c r="C2" s="1972"/>
      <c r="D2" s="289" t="s">
        <v>139</v>
      </c>
      <c r="E2" s="290">
        <f>Eingabetabelle!H13</f>
        <v>44774</v>
      </c>
      <c r="F2" s="291">
        <f>EOMONTH(Berechnung!E3,0)</f>
        <v>44804</v>
      </c>
      <c r="G2" s="292">
        <f>DAY(F2)</f>
        <v>31</v>
      </c>
      <c r="H2" s="293">
        <f>IF(G2&lt;&gt;30,30,30)</f>
        <v>30</v>
      </c>
      <c r="I2" s="294" t="str">
        <f>TEXT(E2,"MMMM")</f>
        <v>August</v>
      </c>
      <c r="J2" s="295"/>
      <c r="K2" s="286"/>
      <c r="L2" s="286"/>
    </row>
    <row r="3" spans="1:64" ht="20.25" hidden="1">
      <c r="A3" s="1973" t="s">
        <v>127</v>
      </c>
      <c r="B3" s="1973"/>
      <c r="C3" s="1973"/>
      <c r="D3" s="1973"/>
      <c r="E3" s="1973"/>
      <c r="F3" s="1973"/>
      <c r="G3" s="1973"/>
      <c r="H3" s="1973"/>
      <c r="I3" s="1973"/>
      <c r="J3" s="296">
        <f>DATE(YEAR(E2),MONTH(E2)*1-300,)</f>
        <v>35642</v>
      </c>
      <c r="K3" s="297">
        <f>J3+1</f>
        <v>35643</v>
      </c>
      <c r="L3" s="298"/>
    </row>
    <row r="4" spans="1:64" ht="18" hidden="1">
      <c r="A4" s="299" t="s">
        <v>140</v>
      </c>
      <c r="B4" s="300" t="s">
        <v>141</v>
      </c>
      <c r="C4" s="301" t="s">
        <v>142</v>
      </c>
      <c r="D4" s="301" t="s">
        <v>143</v>
      </c>
      <c r="E4" s="301" t="s">
        <v>144</v>
      </c>
      <c r="F4" s="300" t="s">
        <v>145</v>
      </c>
      <c r="G4" s="300" t="s">
        <v>146</v>
      </c>
      <c r="H4" s="300" t="s">
        <v>147</v>
      </c>
      <c r="I4" s="302" t="s">
        <v>148</v>
      </c>
    </row>
    <row r="5" spans="1:64" ht="18.75" hidden="1" customHeight="1">
      <c r="A5" s="303" t="s">
        <v>149</v>
      </c>
      <c r="B5" s="304">
        <f>Eingabetabelle!C17</f>
        <v>0</v>
      </c>
      <c r="C5" s="305">
        <f>B6+B5</f>
        <v>1</v>
      </c>
      <c r="D5" s="306"/>
      <c r="E5" s="306"/>
      <c r="F5" s="306"/>
      <c r="G5" s="306"/>
      <c r="H5" s="306"/>
      <c r="I5" s="307"/>
    </row>
    <row r="6" spans="1:64" ht="20.100000000000001" hidden="1" customHeight="1">
      <c r="A6" s="102" t="s">
        <v>150</v>
      </c>
      <c r="B6" s="308">
        <f>COUNTIF(C33:I33,"&gt;0")</f>
        <v>1</v>
      </c>
      <c r="C6" s="309"/>
      <c r="D6" s="310"/>
      <c r="E6" s="310"/>
      <c r="F6" s="310"/>
      <c r="G6" s="310"/>
      <c r="H6" s="310"/>
      <c r="I6" s="310"/>
    </row>
    <row r="7" spans="1:64" ht="20.100000000000001" hidden="1" customHeight="1">
      <c r="A7" s="311" t="s">
        <v>151</v>
      </c>
      <c r="B7" s="312">
        <f>COUNTIF(E16:I16,"&lt;18")</f>
        <v>0</v>
      </c>
      <c r="C7" s="313" t="str">
        <f>Eingabetabelle!D25</f>
        <v>Nein</v>
      </c>
      <c r="D7" s="314" t="str">
        <f>Eingabetabelle!E25</f>
        <v>Nein</v>
      </c>
      <c r="E7" s="313" t="str">
        <f>IF(AND($C7="Nein",$B$7&lt;1),"nein","ja")</f>
        <v>nein</v>
      </c>
      <c r="F7" s="313" t="str">
        <f>IF(AND($C7="Nein",$B$7&lt;1),"nein","ja")</f>
        <v>nein</v>
      </c>
      <c r="G7" s="313" t="str">
        <f>IF(AND($C7="Nein",$B$7&lt;1),"nein","ja")</f>
        <v>nein</v>
      </c>
      <c r="H7" s="313" t="str">
        <f>IF(AND($C7="Nein",$B$7&lt;1),"nein","ja")</f>
        <v>nein</v>
      </c>
      <c r="I7" s="313" t="str">
        <f>IF(AND($C7="Nein",$B$7&lt;1),"nein","ja")</f>
        <v>nein</v>
      </c>
    </row>
    <row r="8" spans="1:64" ht="20.100000000000001" hidden="1" customHeight="1">
      <c r="A8" s="315" t="s">
        <v>152</v>
      </c>
      <c r="B8" s="312">
        <f>COUNTIF(C8:I8,"&gt;0")</f>
        <v>0</v>
      </c>
      <c r="C8" s="316">
        <f>Eingabetabelle!D20</f>
        <v>0</v>
      </c>
      <c r="D8" s="316">
        <f>Eingabetabelle!E20</f>
        <v>0</v>
      </c>
      <c r="E8" s="316">
        <f>Eingabetabelle!F20</f>
        <v>0</v>
      </c>
      <c r="F8" s="316">
        <f>Eingabetabelle!G20</f>
        <v>0</v>
      </c>
      <c r="G8" s="316">
        <f>Eingabetabelle!H20</f>
        <v>0</v>
      </c>
      <c r="H8" s="316">
        <f>Eingabetabelle!I20</f>
        <v>0</v>
      </c>
      <c r="I8" s="316">
        <f>Eingabetabelle!J20</f>
        <v>0</v>
      </c>
      <c r="J8" s="317"/>
      <c r="K8" s="318">
        <f>IF(E8&gt;E2,E14,0)</f>
        <v>0</v>
      </c>
    </row>
    <row r="9" spans="1:64" ht="20.100000000000001" hidden="1" customHeight="1">
      <c r="A9" s="319"/>
      <c r="B9" s="320"/>
      <c r="C9" s="321">
        <f t="shared" ref="C9:I9" si="0">DAY(C8)</f>
        <v>0</v>
      </c>
      <c r="D9" s="321">
        <f t="shared" si="0"/>
        <v>0</v>
      </c>
      <c r="E9" s="321">
        <f t="shared" si="0"/>
        <v>0</v>
      </c>
      <c r="F9" s="321">
        <f t="shared" si="0"/>
        <v>0</v>
      </c>
      <c r="G9" s="321">
        <f t="shared" si="0"/>
        <v>0</v>
      </c>
      <c r="H9" s="321">
        <f t="shared" si="0"/>
        <v>0</v>
      </c>
      <c r="I9" s="322">
        <f t="shared" si="0"/>
        <v>0</v>
      </c>
    </row>
    <row r="10" spans="1:64" ht="20.100000000000001" hidden="1" customHeight="1">
      <c r="A10" s="319"/>
      <c r="B10" s="320"/>
      <c r="C10" s="321">
        <f t="shared" ref="C10:I10" si="1">C9-1</f>
        <v>-1</v>
      </c>
      <c r="D10" s="321">
        <f t="shared" si="1"/>
        <v>-1</v>
      </c>
      <c r="E10" s="321">
        <f t="shared" si="1"/>
        <v>-1</v>
      </c>
      <c r="F10" s="321">
        <f t="shared" si="1"/>
        <v>-1</v>
      </c>
      <c r="G10" s="321">
        <f t="shared" si="1"/>
        <v>-1</v>
      </c>
      <c r="H10" s="321">
        <f t="shared" si="1"/>
        <v>-1</v>
      </c>
      <c r="I10" s="322">
        <f t="shared" si="1"/>
        <v>-1</v>
      </c>
    </row>
    <row r="11" spans="1:64" ht="20.100000000000001" hidden="1" customHeight="1">
      <c r="A11" s="319"/>
      <c r="B11" s="320"/>
      <c r="C11" s="321">
        <f>IF(OR(C9=31,C9=28*(AND(I2="februar")),C9=29*(AND(I2="februar"))),29,C10)</f>
        <v>29</v>
      </c>
      <c r="D11" s="321">
        <f>IF(OR(D9=31,D9=28*(AND(I2="februar")),D9=29*(AND(I2="februar"))),29,D10)</f>
        <v>29</v>
      </c>
      <c r="E11" s="321">
        <f>IF(OR(E9=31,E9=28*(AND(I2="februar")),E9=29*(AND(I2="februar"))),29,E10)</f>
        <v>29</v>
      </c>
      <c r="F11" s="321">
        <f>IF(OR(F9=31,F9=28*(AND(I2="februar")),F9=29*(AND(I2="februar"))),29,F10)</f>
        <v>29</v>
      </c>
      <c r="G11" s="321">
        <f>IF(OR(G9=31,G9=28*(AND(I2="februar")),G9=29*(AND(I2="februar"))),29,G10)</f>
        <v>29</v>
      </c>
      <c r="H11" s="321">
        <f>IF(OR(H9=31,H9=28*(AND(I2="februar")),H9=29*(AND(I2="februar"))),29,H10)</f>
        <v>29</v>
      </c>
      <c r="I11" s="322">
        <f>IF(OR(I9=31,I9=28*(AND(I2="februar")),I9=29*(AND(I2="februar"))),29,I10)</f>
        <v>29</v>
      </c>
    </row>
    <row r="12" spans="1:64" ht="20.100000000000001" hidden="1" customHeight="1">
      <c r="A12" s="319"/>
      <c r="B12" s="320"/>
      <c r="C12" s="321">
        <f>H2-C10</f>
        <v>31</v>
      </c>
      <c r="D12" s="321">
        <f>H2-D10</f>
        <v>31</v>
      </c>
      <c r="E12" s="321">
        <f>H2-E10</f>
        <v>31</v>
      </c>
      <c r="F12" s="321">
        <f>H2-F10</f>
        <v>31</v>
      </c>
      <c r="G12" s="321">
        <f>H2-G10</f>
        <v>31</v>
      </c>
      <c r="H12" s="321">
        <f>H2-H10</f>
        <v>31</v>
      </c>
      <c r="I12" s="322">
        <f>H2-I10</f>
        <v>31</v>
      </c>
    </row>
    <row r="13" spans="1:64" ht="20.100000000000001" hidden="1" customHeight="1">
      <c r="A13" s="319"/>
      <c r="B13" s="320"/>
      <c r="C13" s="321">
        <f t="shared" ref="C13:I13" si="2">IF(C12=0,1,IF(C11=29,1,C12))</f>
        <v>1</v>
      </c>
      <c r="D13" s="321">
        <f t="shared" si="2"/>
        <v>1</v>
      </c>
      <c r="E13" s="321">
        <f t="shared" si="2"/>
        <v>1</v>
      </c>
      <c r="F13" s="321">
        <f t="shared" si="2"/>
        <v>1</v>
      </c>
      <c r="G13" s="321">
        <f t="shared" si="2"/>
        <v>1</v>
      </c>
      <c r="H13" s="321">
        <f t="shared" si="2"/>
        <v>1</v>
      </c>
      <c r="I13" s="322">
        <f t="shared" si="2"/>
        <v>1</v>
      </c>
    </row>
    <row r="14" spans="1:64" ht="20.100000000000001" hidden="1" customHeight="1">
      <c r="A14" s="319"/>
      <c r="B14" s="320"/>
      <c r="C14" s="321"/>
      <c r="D14" s="321"/>
      <c r="E14" s="321">
        <f>IF(E8&gt;E2,G2-E10,E13)</f>
        <v>1</v>
      </c>
      <c r="F14" s="321">
        <f>IF(F8&gt;E2,G2-F10,F13)</f>
        <v>1</v>
      </c>
      <c r="G14" s="321">
        <f>IF(G8&gt;E2,G2-G10,G13)</f>
        <v>1</v>
      </c>
      <c r="H14" s="321">
        <f>IF(H8&gt;E2,G2-H10,H13)</f>
        <v>1</v>
      </c>
      <c r="I14" s="322">
        <f>IF(I8&gt;E2,G2-I10,I13)</f>
        <v>1</v>
      </c>
    </row>
    <row r="15" spans="1:64" ht="16.5" hidden="1" customHeight="1">
      <c r="A15" s="323"/>
      <c r="B15" s="320"/>
      <c r="C15" s="324">
        <f>DATEDIF(C$8,E2,"y")</f>
        <v>122</v>
      </c>
      <c r="D15" s="324">
        <f>DATEDIF(D$8,E2,"y")</f>
        <v>122</v>
      </c>
      <c r="E15" s="324">
        <f>DATEDIF(E$8,E2,"y")</f>
        <v>122</v>
      </c>
      <c r="F15" s="324">
        <f>DATEDIF(F$8,E2,"y")</f>
        <v>122</v>
      </c>
      <c r="G15" s="324">
        <f>DATEDIF(G$8,E2,"y")</f>
        <v>122</v>
      </c>
      <c r="H15" s="324">
        <f>DATEDIF(H$8,E2,"y")</f>
        <v>122</v>
      </c>
      <c r="I15" s="325">
        <f>DATEDIF(I$8,E2,"y")</f>
        <v>122</v>
      </c>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row>
    <row r="16" spans="1:64" ht="16.5" hidden="1" customHeight="1">
      <c r="A16" s="326"/>
      <c r="B16" s="327"/>
      <c r="C16" s="328"/>
      <c r="D16" s="328"/>
      <c r="E16" s="328">
        <f>IF(E8&gt;E2,0,E15)</f>
        <v>122</v>
      </c>
      <c r="F16" s="328">
        <f>IF(F8&gt;E2,0,F15)</f>
        <v>122</v>
      </c>
      <c r="G16" s="328">
        <f>IF(G8&gt;E2,0,G15)</f>
        <v>122</v>
      </c>
      <c r="H16" s="328">
        <f>IF(H8&gt;E2,0,H15)</f>
        <v>122</v>
      </c>
      <c r="I16" s="329">
        <f>IF(I8&gt;E2,0,I15)</f>
        <v>122</v>
      </c>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row>
    <row r="17" spans="1:64" ht="16.5" hidden="1" customHeight="1">
      <c r="A17" s="323"/>
      <c r="B17" s="320"/>
      <c r="C17" s="324">
        <f>IF(C15=0,DATEDIF(C$8,E2,"d"),0)</f>
        <v>0</v>
      </c>
      <c r="D17" s="324">
        <f>IF(D15=0,DATEDIF(D$8,E2,"d"),0)</f>
        <v>0</v>
      </c>
      <c r="E17" s="324">
        <f>IF(E16=0,DATEDIF(E$8,E2,"d"),0)</f>
        <v>0</v>
      </c>
      <c r="F17" s="324">
        <f>IF(F15=0,DATEDIF(F$8,E2,"d"),0)</f>
        <v>0</v>
      </c>
      <c r="G17" s="324">
        <f>IF(G15=0,DATEDIF(G$8,E2,"d"),0)</f>
        <v>0</v>
      </c>
      <c r="H17" s="324">
        <f>IF(H15=0,DATEDIF(H$8,E2,"d"),0)</f>
        <v>0</v>
      </c>
      <c r="I17" s="325">
        <f>IF(I15=0,DATEDIF(I$8,E2,"d"),0)</f>
        <v>0</v>
      </c>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row>
    <row r="18" spans="1:64" ht="16.5" hidden="1" customHeight="1">
      <c r="A18" s="326"/>
      <c r="B18" s="327"/>
      <c r="C18" s="328">
        <f>DATEDIF(C$8,F2,"y")</f>
        <v>122</v>
      </c>
      <c r="D18" s="328">
        <f>DATEDIF(D$8,F2,"y")</f>
        <v>122</v>
      </c>
      <c r="E18" s="328">
        <f>DATEDIF(E$8,F2,"y")</f>
        <v>122</v>
      </c>
      <c r="F18" s="328">
        <f>DATEDIF(F$8,F2,"y")</f>
        <v>122</v>
      </c>
      <c r="G18" s="328">
        <f>DATEDIF(G$8,F2,"y")</f>
        <v>122</v>
      </c>
      <c r="H18" s="328">
        <f>DATEDIF(H$8,F2,"y")</f>
        <v>122</v>
      </c>
      <c r="I18" s="329">
        <f>DATEDIF(I$8,F2,"y")</f>
        <v>122</v>
      </c>
      <c r="J18" s="330"/>
      <c r="K18" s="331">
        <f>COUNTIF(E18:I18,"=25")</f>
        <v>0</v>
      </c>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row>
    <row r="19" spans="1:64" ht="16.5" hidden="1" customHeight="1">
      <c r="A19" s="319"/>
      <c r="B19" s="320"/>
      <c r="C19" s="324">
        <f>IF(C8=DATE(1900,1,0),0,C15)</f>
        <v>0</v>
      </c>
      <c r="D19" s="324">
        <f t="shared" ref="D19:I19" si="3">IF(D8=DATE(1900,1,0),0,D15)</f>
        <v>0</v>
      </c>
      <c r="E19" s="324">
        <f t="shared" si="3"/>
        <v>0</v>
      </c>
      <c r="F19" s="324">
        <f t="shared" si="3"/>
        <v>0</v>
      </c>
      <c r="G19" s="324">
        <f t="shared" si="3"/>
        <v>0</v>
      </c>
      <c r="H19" s="324">
        <f t="shared" si="3"/>
        <v>0</v>
      </c>
      <c r="I19" s="324">
        <f t="shared" si="3"/>
        <v>0</v>
      </c>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row>
    <row r="20" spans="1:64" ht="16.5" hidden="1" customHeight="1">
      <c r="A20" s="319"/>
      <c r="B20" s="320"/>
      <c r="C20" s="324">
        <f t="shared" ref="C20:I20" si="4">IF(C8=DATE(1900,1,0),0,C17)</f>
        <v>0</v>
      </c>
      <c r="D20" s="324">
        <f t="shared" si="4"/>
        <v>0</v>
      </c>
      <c r="E20" s="324">
        <f t="shared" si="4"/>
        <v>0</v>
      </c>
      <c r="F20" s="324">
        <f t="shared" si="4"/>
        <v>0</v>
      </c>
      <c r="G20" s="324">
        <f t="shared" si="4"/>
        <v>0</v>
      </c>
      <c r="H20" s="324">
        <f t="shared" si="4"/>
        <v>0</v>
      </c>
      <c r="I20" s="325">
        <f t="shared" si="4"/>
        <v>0</v>
      </c>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row>
    <row r="21" spans="1:64" ht="16.5" hidden="1" customHeight="1">
      <c r="A21" s="332"/>
      <c r="B21" s="333"/>
      <c r="C21" s="334">
        <f>IF(C19=0,0,C19)</f>
        <v>0</v>
      </c>
      <c r="D21" s="321">
        <f>IF(D19=0,0,D19)</f>
        <v>0</v>
      </c>
      <c r="E21" s="321">
        <f>IF(E19+E20=0,0,IF(E19&gt;E20,E19,1))</f>
        <v>0</v>
      </c>
      <c r="F21" s="321">
        <f>IF(F19+F20=0,0,IF(F19&gt;F20,F19,1))</f>
        <v>0</v>
      </c>
      <c r="G21" s="321">
        <f>IF(G19+G20=0,0,IF(G19&gt;G20,G19,1))</f>
        <v>0</v>
      </c>
      <c r="H21" s="321">
        <f>IF(H19+H20=0,0,IF(H19&gt;H20,H19,1))</f>
        <v>0</v>
      </c>
      <c r="I21" s="322">
        <f>IF(I19+I20=0,0,IF(I19&gt;I20,I19,1))</f>
        <v>0</v>
      </c>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287"/>
      <c r="BK21" s="287"/>
      <c r="BL21" s="287"/>
    </row>
    <row r="22" spans="1:64" ht="16.5" hidden="1" customHeight="1">
      <c r="A22" s="335"/>
      <c r="B22" s="336"/>
      <c r="C22" s="321">
        <f t="shared" ref="C22:I22" si="5">IF(C21=0,0,C21)</f>
        <v>0</v>
      </c>
      <c r="D22" s="321">
        <f t="shared" si="5"/>
        <v>0</v>
      </c>
      <c r="E22" s="321">
        <f t="shared" si="5"/>
        <v>0</v>
      </c>
      <c r="F22" s="321">
        <f t="shared" si="5"/>
        <v>0</v>
      </c>
      <c r="G22" s="321">
        <f t="shared" si="5"/>
        <v>0</v>
      </c>
      <c r="H22" s="321">
        <f t="shared" si="5"/>
        <v>0</v>
      </c>
      <c r="I22" s="322">
        <f t="shared" si="5"/>
        <v>0</v>
      </c>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row>
    <row r="23" spans="1:64" ht="16.5" hidden="1">
      <c r="A23" s="319"/>
      <c r="B23" s="337"/>
      <c r="C23" s="338">
        <f>IF(AND(C21&gt;0,C21&lt;18),F233,IF(AND(C21&gt;17,D21&gt;17),D233,IF(AND(C21&gt;17,D21=17),C233,IF(AND(C21&gt;17,D21=16),C233,IF(AND(C21&gt;17,D21=15),C233,C233)))))</f>
        <v>449</v>
      </c>
      <c r="D23" s="338">
        <f>IF(AND(D21&gt;17,C21&lt;18),C233,IF(D21&gt;17,D233,IF(D21=17,F233,IF(D21=16,F233,IF(D21=15,F233,0)))))</f>
        <v>0</v>
      </c>
      <c r="E23" s="338">
        <f>IF(E21&lt;1,0,IF(E21&lt;6,H233,IF(E21&lt;14,G233,IF(E21&lt;18,F233,E233))))</f>
        <v>0</v>
      </c>
      <c r="F23" s="338">
        <f>IF(F21&lt;1,0,IF(F21&lt;6,H233,IF(F21&lt;14,G233,IF(F21&lt;18,F233,E233))))</f>
        <v>0</v>
      </c>
      <c r="G23" s="338">
        <f>IF(G21&lt;1,0,IF(G21&lt;6,H233,IF(G21&lt;14,G233,IF(G21&lt;18,F233,E233))))</f>
        <v>0</v>
      </c>
      <c r="H23" s="338">
        <f>IF(H21&lt;1,0,IF(H21&lt;6,H233,IF(H21&lt;14,G233,IF(H21&lt;18,F233,E233))))</f>
        <v>0</v>
      </c>
      <c r="I23" s="339">
        <f>IF(I21&lt;1,0,IF(I21&lt;6,H233,IF(I21&lt;14,G233,IF(I21&lt;18,F233,E233))))</f>
        <v>0</v>
      </c>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row>
    <row r="24" spans="1:64" ht="16.5" hidden="1">
      <c r="A24" s="319"/>
      <c r="B24" s="337"/>
      <c r="C24" s="338">
        <f>IF(C18&lt;18,F233,IF(AND(C18&gt;17,D18&gt;17,D18&lt;116),D233,IF(AND(C18&gt;17,D18=17),C233,IF(AND(C18&gt;17,D18=16),C233,IF(AND(C18&gt;17,D18=15),C233,C233)))))</f>
        <v>449</v>
      </c>
      <c r="D24" s="338">
        <f>IF(AND(D18&gt;17,C18&lt;18),C233,IF(D18&gt;17,D233,IF(D18=17,F233,IF(D18=16,F233,IF(D18=15,F233,0)))))</f>
        <v>404</v>
      </c>
      <c r="E24" s="338">
        <f>IF(E18&lt;1,0,IF(E18&lt;6,H233,IF(E18&lt;14,G233,IF(E18&lt;18,F233,E233))))</f>
        <v>360</v>
      </c>
      <c r="F24" s="338">
        <f>IF(F18&lt;1,0,IF(F18&lt;6,H233,IF(F18&lt;14,G233,IF(F18&lt;18,F233,E233))))</f>
        <v>360</v>
      </c>
      <c r="G24" s="338">
        <f>IF(G18&lt;1,0,IF(G18&lt;6,H233,IF(G18&lt;14,G233,IF(G18&lt;18,F233,E233))))</f>
        <v>360</v>
      </c>
      <c r="H24" s="338">
        <f>IF(H18&lt;1,0,IF(H18&lt;6,H233,IF(H18&lt;14,G233,IF(H18&lt;18,F233,E233))))</f>
        <v>360</v>
      </c>
      <c r="I24" s="339">
        <f>IF(I18&lt;1,0,IF(I18&lt;6,H233,IF(I18&lt;14,G233,IF(I18&lt;18,F233,E233))))</f>
        <v>360</v>
      </c>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row>
    <row r="25" spans="1:64" ht="16.5" hidden="1">
      <c r="A25" s="319"/>
      <c r="B25" s="337"/>
      <c r="C25" s="338">
        <f>IF(C24&lt;&gt;C23,C24/H2*C13,C23)</f>
        <v>449</v>
      </c>
      <c r="D25" s="338">
        <f>IF(D24&lt;&gt;D23,D24/H2*D13,D23)</f>
        <v>13.466666666666667</v>
      </c>
      <c r="E25" s="338">
        <f>IF(E24&gt;E23,E24/H2*E14,E23)</f>
        <v>12</v>
      </c>
      <c r="F25" s="338">
        <f>IF(F24&gt;F23,F24/H2*F14,F23)</f>
        <v>12</v>
      </c>
      <c r="G25" s="338">
        <f>IF(G24&gt;G23,G24/H2*G14,G23)</f>
        <v>12</v>
      </c>
      <c r="H25" s="338">
        <f>IF(H24&gt;H23,H24/H2*H14,H23)</f>
        <v>12</v>
      </c>
      <c r="I25" s="339">
        <f>IF(I24&gt;I23,I24/H2*I14,I23)</f>
        <v>12</v>
      </c>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row>
    <row r="26" spans="1:64" ht="16.5" hidden="1">
      <c r="A26" s="319"/>
      <c r="B26" s="337"/>
      <c r="C26" s="338">
        <f>IF(C24&lt;&gt;C23,C23/H2*C11,C23)</f>
        <v>449</v>
      </c>
      <c r="D26" s="338">
        <f>IF(D24&lt;&gt;D23,D23/H2*D11,D23)</f>
        <v>0</v>
      </c>
      <c r="E26" s="338">
        <f>IF(E24&gt;E23,E23/H2*E11,E23)</f>
        <v>0</v>
      </c>
      <c r="F26" s="338">
        <f>IF(F24&gt;F23,F23/H2*F11,F23)</f>
        <v>0</v>
      </c>
      <c r="G26" s="338">
        <f>IF(G24&gt;G23,G23/H2*G11,G23)</f>
        <v>0</v>
      </c>
      <c r="H26" s="338">
        <f>IF(H24&gt;H23,H23/H2*H11,H23)</f>
        <v>0</v>
      </c>
      <c r="I26" s="339">
        <f>IF(I24&gt;I23,I23/H2*I11,I23)</f>
        <v>0</v>
      </c>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row>
    <row r="27" spans="1:64" ht="16.5" hidden="1">
      <c r="A27" s="319"/>
      <c r="B27" s="337"/>
      <c r="C27" s="338">
        <f t="shared" ref="C27:I27" si="6">IF(C26=C25,C23,C25+C26)</f>
        <v>449</v>
      </c>
      <c r="D27" s="338">
        <f t="shared" si="6"/>
        <v>13.466666666666667</v>
      </c>
      <c r="E27" s="338">
        <f t="shared" si="6"/>
        <v>12</v>
      </c>
      <c r="F27" s="338">
        <f t="shared" si="6"/>
        <v>12</v>
      </c>
      <c r="G27" s="338">
        <f t="shared" si="6"/>
        <v>12</v>
      </c>
      <c r="H27" s="338">
        <f t="shared" si="6"/>
        <v>12</v>
      </c>
      <c r="I27" s="339">
        <f t="shared" si="6"/>
        <v>12</v>
      </c>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row>
    <row r="28" spans="1:64" ht="16.5" hidden="1">
      <c r="A28" s="319"/>
      <c r="B28" s="337"/>
      <c r="C28" s="338">
        <f>C27</f>
        <v>449</v>
      </c>
      <c r="D28" s="338">
        <f t="shared" ref="D28:I28" si="7">IF(D23=0,0,D27)</f>
        <v>0</v>
      </c>
      <c r="E28" s="338">
        <f t="shared" si="7"/>
        <v>0</v>
      </c>
      <c r="F28" s="338">
        <f t="shared" si="7"/>
        <v>0</v>
      </c>
      <c r="G28" s="338">
        <f t="shared" si="7"/>
        <v>0</v>
      </c>
      <c r="H28" s="338">
        <f t="shared" si="7"/>
        <v>0</v>
      </c>
      <c r="I28" s="339">
        <f t="shared" si="7"/>
        <v>0</v>
      </c>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row>
    <row r="29" spans="1:64" ht="16.5" hidden="1">
      <c r="A29" s="319"/>
      <c r="B29" s="337"/>
      <c r="C29" s="338">
        <f>IF(C15&lt;15,0,C28)</f>
        <v>449</v>
      </c>
      <c r="D29" s="338"/>
      <c r="E29" s="338">
        <f>IF(E18=25,E28/H2*E10,E28)</f>
        <v>0</v>
      </c>
      <c r="F29" s="338">
        <f>IF(F18=25,F28/H2*F10,F28)</f>
        <v>0</v>
      </c>
      <c r="G29" s="338">
        <f>IF(G18=25,G28/H2*G10,G28)</f>
        <v>0</v>
      </c>
      <c r="H29" s="338">
        <f>IF(H18=25,H28/H2*H10,H28)</f>
        <v>0</v>
      </c>
      <c r="I29" s="339">
        <f>IF(I18=25,I28/H2*I10,I28)</f>
        <v>0</v>
      </c>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row>
    <row r="30" spans="1:64" ht="16.5" hidden="1">
      <c r="A30" s="319"/>
      <c r="B30" s="337"/>
      <c r="C30" s="338"/>
      <c r="D30" s="338"/>
      <c r="E30" s="338">
        <f>IF(E16&gt;24,0,E29)</f>
        <v>0</v>
      </c>
      <c r="F30" s="338">
        <f>IF(F15&gt;24,0,F29)</f>
        <v>0</v>
      </c>
      <c r="G30" s="338">
        <f>IF(G15&gt;24,0,G29)</f>
        <v>0</v>
      </c>
      <c r="H30" s="338">
        <f>IF(H15&gt;24,0,H29)</f>
        <v>0</v>
      </c>
      <c r="I30" s="339">
        <f>IF(I15&gt;24,0,I29)</f>
        <v>0</v>
      </c>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row>
    <row r="31" spans="1:64" ht="16.5" hidden="1">
      <c r="A31" s="319"/>
      <c r="B31" s="337"/>
      <c r="C31" s="340"/>
      <c r="D31" s="340"/>
      <c r="E31" s="338">
        <f>ROUND(E30,0)</f>
        <v>0</v>
      </c>
      <c r="F31" s="338">
        <f>ROUND(F30,0)</f>
        <v>0</v>
      </c>
      <c r="G31" s="338">
        <f>ROUND(G30,0)</f>
        <v>0</v>
      </c>
      <c r="H31" s="338">
        <f>ROUND(H30,0)</f>
        <v>0</v>
      </c>
      <c r="I31" s="339">
        <f>ROUND(I30,0)</f>
        <v>0</v>
      </c>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row>
    <row r="32" spans="1:64" ht="16.5" hidden="1">
      <c r="A32" s="319"/>
      <c r="B32" s="337"/>
      <c r="C32" s="341"/>
      <c r="D32" s="341"/>
      <c r="E32" s="341">
        <f>IF(E8&gt;E2,H233*E14/30,E31)</f>
        <v>0</v>
      </c>
      <c r="F32" s="341">
        <f>IF(F8&gt;E2,H233*F14/30,F31)</f>
        <v>0</v>
      </c>
      <c r="G32" s="341">
        <f>IF(G8&gt;E2,H233*G14/30,G31)</f>
        <v>0</v>
      </c>
      <c r="H32" s="341">
        <f>IF(H8&gt;E2,H233*H14/30,H31)</f>
        <v>0</v>
      </c>
      <c r="I32" s="342">
        <f>IF(I8&gt;E2,H233*I14/30,I31)</f>
        <v>0</v>
      </c>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row>
    <row r="33" spans="1:64" ht="16.5" hidden="1">
      <c r="A33" s="319"/>
      <c r="B33" s="343">
        <f>SUMPRODUCT((E33:I33&lt;G233)*(E33:I33&gt;0))</f>
        <v>0</v>
      </c>
      <c r="C33" s="338">
        <f>ROUND(C29,0)</f>
        <v>449</v>
      </c>
      <c r="D33" s="338">
        <f>ROUND(D28,0)</f>
        <v>0</v>
      </c>
      <c r="E33" s="338">
        <f>ROUND(E32,0)</f>
        <v>0</v>
      </c>
      <c r="F33" s="338">
        <f>ROUND(F32,0)</f>
        <v>0</v>
      </c>
      <c r="G33" s="338">
        <f>ROUND(G32,0)</f>
        <v>0</v>
      </c>
      <c r="H33" s="338">
        <f>ROUND(H32,0)</f>
        <v>0</v>
      </c>
      <c r="I33" s="339">
        <f>ROUND(I32,0)</f>
        <v>0</v>
      </c>
      <c r="J33" s="317"/>
      <c r="K33" s="317"/>
      <c r="L33" s="317"/>
      <c r="M33" s="317"/>
      <c r="N33" s="317"/>
      <c r="O33" s="317"/>
      <c r="P33" s="317"/>
      <c r="Q33" s="317"/>
      <c r="R33" s="317"/>
      <c r="S33" s="344">
        <f>COUNTIF(E33:I33,"&gt;0")</f>
        <v>0</v>
      </c>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row>
    <row r="34" spans="1:64" ht="16.5" hidden="1">
      <c r="A34" s="319">
        <f>IF(B8&gt;0,"erwerbsfähig",0)</f>
        <v>0</v>
      </c>
      <c r="B34" s="337"/>
      <c r="C34" s="345" t="str">
        <f>IF(OR(C197&gt;0,Eingabetabelle!D35="Ja"),"nein","ja")</f>
        <v>ja</v>
      </c>
      <c r="D34" s="345" t="str">
        <f>IF(OR(D197&gt;0,Eingabetabelle!E35="Ja"),"nein","ja")</f>
        <v>ja</v>
      </c>
      <c r="E34" s="345" t="str">
        <f>IF(E18&gt;14,"ja","nein")</f>
        <v>ja</v>
      </c>
      <c r="F34" s="345" t="str">
        <f>IF(F18&gt;14,"ja","nein")</f>
        <v>ja</v>
      </c>
      <c r="G34" s="345" t="str">
        <f>IF(G18&gt;14,"ja","nein")</f>
        <v>ja</v>
      </c>
      <c r="H34" s="345" t="str">
        <f>IF(H18&gt;14,"ja","nein")</f>
        <v>ja</v>
      </c>
      <c r="I34" s="346" t="str">
        <f>IF(I18&gt;14,"ja","nein")</f>
        <v>ja</v>
      </c>
      <c r="J34" s="317"/>
      <c r="K34" s="317"/>
      <c r="L34" s="317"/>
      <c r="M34" s="317"/>
      <c r="N34" s="317"/>
      <c r="O34" s="317"/>
      <c r="P34" s="317"/>
      <c r="Q34" s="317"/>
      <c r="R34" s="317"/>
      <c r="S34" s="344"/>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row>
    <row r="35" spans="1:64" ht="20.100000000000001" hidden="1" customHeight="1">
      <c r="A35" s="347">
        <f>IF(B8&gt;0,"anspruchsberechtigt",0)</f>
        <v>0</v>
      </c>
      <c r="B35" s="348"/>
      <c r="C35" s="345" t="str">
        <f>IF(C197&gt;0,"nein","ja")</f>
        <v>ja</v>
      </c>
      <c r="D35" s="345" t="str">
        <f>IF(D197&gt;0,"nein","ja")</f>
        <v>ja</v>
      </c>
      <c r="E35" s="349" t="s">
        <v>28</v>
      </c>
      <c r="F35" s="349" t="s">
        <v>28</v>
      </c>
      <c r="G35" s="349" t="s">
        <v>28</v>
      </c>
      <c r="H35" s="349" t="s">
        <v>28</v>
      </c>
      <c r="I35" s="350" t="s">
        <v>28</v>
      </c>
      <c r="J35" s="351"/>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row>
    <row r="36" spans="1:64" ht="29.25" hidden="1" customHeight="1">
      <c r="A36" s="352" t="s">
        <v>153</v>
      </c>
      <c r="B36" s="353" t="s">
        <v>141</v>
      </c>
      <c r="C36" s="354"/>
      <c r="D36" s="355"/>
      <c r="E36" s="355"/>
      <c r="F36" s="356"/>
      <c r="G36" s="356"/>
      <c r="H36" s="356"/>
      <c r="I36" s="35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row>
    <row r="37" spans="1:64" ht="20.100000000000001" hidden="1" customHeight="1">
      <c r="A37" s="358" t="s">
        <v>154</v>
      </c>
      <c r="B37" s="359"/>
      <c r="C37" s="360" t="str">
        <f>IF(Eingabetabelle!D33="","",Eingabetabelle!D33)</f>
        <v/>
      </c>
      <c r="D37" s="360" t="str">
        <f>IF(Eingabetabelle!E33="","",Eingabetabelle!E33)</f>
        <v/>
      </c>
      <c r="E37" s="360" t="str">
        <f>IF(Eingabetabelle!F33="","",Eingabetabelle!F33)</f>
        <v/>
      </c>
      <c r="F37" s="360">
        <f>Eingabetabelle!G33</f>
        <v>0</v>
      </c>
      <c r="G37" s="360">
        <f>Eingabetabelle!H33</f>
        <v>0</v>
      </c>
      <c r="H37" s="360">
        <f>Eingabetabelle!I33</f>
        <v>0</v>
      </c>
      <c r="I37" s="360">
        <f>Eingabetabelle!J33</f>
        <v>0</v>
      </c>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row>
    <row r="38" spans="1:64" ht="20.100000000000001" hidden="1" customHeight="1">
      <c r="A38" s="358"/>
      <c r="B38" s="359"/>
      <c r="C38" s="361" t="e">
        <f>C37-280</f>
        <v>#VALUE!</v>
      </c>
      <c r="D38" s="361" t="e">
        <f>D37-280</f>
        <v>#VALUE!</v>
      </c>
      <c r="E38" s="361" t="e">
        <f>E37-280</f>
        <v>#VALUE!</v>
      </c>
      <c r="F38" s="362"/>
      <c r="G38" s="363"/>
      <c r="H38" s="364"/>
      <c r="I38" s="365"/>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row>
    <row r="39" spans="1:64" ht="20.100000000000001" hidden="1" customHeight="1">
      <c r="A39" s="358"/>
      <c r="B39" s="359"/>
      <c r="C39" s="361" t="e">
        <f>C38+85</f>
        <v>#VALUE!</v>
      </c>
      <c r="D39" s="361" t="e">
        <f>D38+85</f>
        <v>#VALUE!</v>
      </c>
      <c r="E39" s="361" t="e">
        <f>E38+85</f>
        <v>#VALUE!</v>
      </c>
      <c r="F39" s="366"/>
      <c r="G39" s="367"/>
      <c r="H39" s="368"/>
      <c r="I39" s="339"/>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row>
    <row r="40" spans="1:64" ht="20.100000000000001" hidden="1" customHeight="1">
      <c r="A40" s="358"/>
      <c r="B40" s="359"/>
      <c r="C40" s="321" t="e">
        <f>C39-E2</f>
        <v>#VALUE!</v>
      </c>
      <c r="D40" s="321" t="e">
        <f>D39-E2</f>
        <v>#VALUE!</v>
      </c>
      <c r="E40" s="321" t="e">
        <f>E39-E2</f>
        <v>#VALUE!</v>
      </c>
      <c r="F40" s="366"/>
      <c r="G40" s="367"/>
      <c r="H40" s="368"/>
      <c r="I40" s="339"/>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row>
    <row r="41" spans="1:64" ht="20.100000000000001" hidden="1" customHeight="1">
      <c r="A41" s="358"/>
      <c r="B41" s="359"/>
      <c r="C41" s="321" t="e">
        <f>30-C40</f>
        <v>#VALUE!</v>
      </c>
      <c r="D41" s="321" t="e">
        <f>30-D40</f>
        <v>#VALUE!</v>
      </c>
      <c r="E41" s="321" t="e">
        <f>30-E40</f>
        <v>#VALUE!</v>
      </c>
      <c r="F41" s="366"/>
      <c r="G41" s="367"/>
      <c r="H41" s="368"/>
      <c r="I41" s="339"/>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row>
    <row r="42" spans="1:64" ht="20.100000000000001" hidden="1" customHeight="1">
      <c r="A42" s="358"/>
      <c r="B42" s="359"/>
      <c r="C42" s="321" t="e">
        <f>IF(C41&gt;30,30,C41)</f>
        <v>#VALUE!</v>
      </c>
      <c r="D42" s="321" t="e">
        <f>IF(D41&gt;30,30,D41)</f>
        <v>#VALUE!</v>
      </c>
      <c r="E42" s="321" t="e">
        <f>IF(E41&gt;30,30,E41)</f>
        <v>#VALUE!</v>
      </c>
      <c r="F42" s="366"/>
      <c r="G42" s="367"/>
      <c r="H42" s="368"/>
      <c r="I42" s="339"/>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row>
    <row r="43" spans="1:64" ht="20.100000000000001" hidden="1" customHeight="1">
      <c r="A43" s="358"/>
      <c r="B43" s="359"/>
      <c r="C43" s="321" t="e">
        <f>IF(C39&gt;E2,G2-C40,C42)</f>
        <v>#VALUE!</v>
      </c>
      <c r="D43" s="321" t="e">
        <f>IF(D39&gt;E2,G2-D40,D42)</f>
        <v>#VALUE!</v>
      </c>
      <c r="E43" s="321" t="e">
        <f>IF(E39&gt;E2,G2-E40,E42)</f>
        <v>#VALUE!</v>
      </c>
      <c r="F43" s="366"/>
      <c r="G43" s="367"/>
      <c r="H43" s="368"/>
      <c r="I43" s="339"/>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row>
    <row r="44" spans="1:64" ht="18" hidden="1" customHeight="1">
      <c r="A44" s="358"/>
      <c r="B44" s="359"/>
      <c r="C44" s="369" t="e">
        <f>IF(C42&gt;0,C33*17/100,0)*C43/30</f>
        <v>#VALUE!</v>
      </c>
      <c r="D44" s="369" t="e">
        <f>IF(D42&gt;0,D33*17/100,0)*D43/30</f>
        <v>#VALUE!</v>
      </c>
      <c r="E44" s="369" t="e">
        <f>IF(E42&gt;0,E33*17/100,0)*E43/30</f>
        <v>#VALUE!</v>
      </c>
      <c r="F44" s="370"/>
      <c r="G44" s="371"/>
      <c r="H44" s="372"/>
      <c r="I44" s="339"/>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row>
    <row r="45" spans="1:64" ht="18" hidden="1" customHeight="1">
      <c r="A45" s="358"/>
      <c r="B45" s="359"/>
      <c r="C45" s="369" t="e">
        <f>IF($E2&gt;44196,C44,IF(C37&lt;$F2,C44*DAY(C37)/30,C44))</f>
        <v>#VALUE!</v>
      </c>
      <c r="D45" s="369" t="e">
        <f>IF($E2&gt;44196,D44,IF(D37&lt;$F2,D44*DAY(D37)/30,D44))</f>
        <v>#VALUE!</v>
      </c>
      <c r="E45" s="369" t="e">
        <f>IF($E2&gt;44196,E44,IF(E37&lt;$F2,E44*DAY(E37)/30,E44))</f>
        <v>#VALUE!</v>
      </c>
      <c r="F45" s="373"/>
      <c r="G45" s="374"/>
      <c r="H45" s="375"/>
      <c r="I45" s="342"/>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row>
    <row r="46" spans="1:64" ht="18" hidden="1" customHeight="1">
      <c r="A46" s="376" t="s">
        <v>155</v>
      </c>
      <c r="B46" s="377">
        <f>IF(C46="ja",AE90,0)</f>
        <v>0</v>
      </c>
      <c r="C46" s="378" t="str">
        <f>Eingabetabelle!B26</f>
        <v>Nein</v>
      </c>
      <c r="D46" s="379"/>
      <c r="E46" s="380"/>
      <c r="F46" s="381"/>
      <c r="G46" s="381"/>
      <c r="H46" s="381"/>
      <c r="I46" s="382"/>
      <c r="T46" s="287"/>
      <c r="U46" s="287"/>
      <c r="V46" s="340"/>
      <c r="W46" s="287"/>
      <c r="X46" s="287"/>
      <c r="Y46" s="340"/>
      <c r="Z46" s="287"/>
      <c r="AA46" s="340"/>
      <c r="AB46" s="287"/>
      <c r="AC46" s="340"/>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row>
    <row r="47" spans="1:64" ht="18" hidden="1" customHeight="1">
      <c r="A47" s="376"/>
      <c r="B47" s="383"/>
      <c r="C47" s="378"/>
      <c r="D47" s="384"/>
      <c r="E47" s="385"/>
      <c r="F47" s="385"/>
      <c r="G47" s="385"/>
      <c r="H47" s="385"/>
      <c r="I47" s="386"/>
      <c r="J47" s="387"/>
      <c r="K47" s="388" t="s">
        <v>156</v>
      </c>
      <c r="L47" s="389"/>
      <c r="M47" s="390"/>
      <c r="N47" s="388" t="s">
        <v>157</v>
      </c>
      <c r="O47" s="389"/>
      <c r="P47" s="390"/>
      <c r="Q47" s="388" t="s">
        <v>158</v>
      </c>
      <c r="R47" s="389"/>
      <c r="S47" s="390"/>
      <c r="T47" s="388" t="s">
        <v>159</v>
      </c>
      <c r="U47" s="388"/>
      <c r="V47" s="1974" t="s">
        <v>160</v>
      </c>
      <c r="W47" s="1974"/>
      <c r="X47" s="391"/>
      <c r="Y47" s="390"/>
      <c r="Z47" s="389" t="s">
        <v>161</v>
      </c>
      <c r="AA47" s="390"/>
      <c r="AB47" s="389" t="s">
        <v>162</v>
      </c>
      <c r="AC47" s="390"/>
      <c r="AD47" s="389" t="s">
        <v>163</v>
      </c>
      <c r="AE47" s="392">
        <f>IF(OR(K48&gt;0,N48&gt;0,Q48&gt;0,T48&gt;0,W48&gt;0,Z48&gt;0,AB48&gt;0,AD48&gt;0),1,0)</f>
        <v>0</v>
      </c>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row>
    <row r="48" spans="1:64" ht="18" hidden="1" customHeight="1">
      <c r="A48" s="358"/>
      <c r="B48" s="359"/>
      <c r="C48" s="369"/>
      <c r="D48" s="384"/>
      <c r="E48" s="324">
        <f>IF(E$8&gt;$E$2,"",DATEDIF(E$8,$E$2,"y"))</f>
        <v>122</v>
      </c>
      <c r="F48" s="324">
        <f>IF(F$8&gt;$E$2,"",DATEDIF(F$8,$E$2,"y"))</f>
        <v>122</v>
      </c>
      <c r="G48" s="324">
        <f>IF(G$8&gt;$E$2,"",DATEDIF(G$8,$E$2,"y"))</f>
        <v>122</v>
      </c>
      <c r="H48" s="324">
        <f>IF(H$8&gt;$E$2,"",DATEDIF(H$8,$E$2,"y"))</f>
        <v>122</v>
      </c>
      <c r="I48" s="325">
        <f>IF(I$8&gt;$E$2,"",DATEDIF(I$8,$E$2,"y"))</f>
        <v>122</v>
      </c>
      <c r="J48" s="393">
        <f t="shared" ref="J48:J75" si="8">COUNTIF(E48:I48,"&lt;7")</f>
        <v>0</v>
      </c>
      <c r="K48" s="394">
        <f t="shared" ref="K48:K78" si="9">IF(J48=1,C$23*0.36,0)</f>
        <v>0</v>
      </c>
      <c r="L48" s="395">
        <f t="shared" ref="L48:L78" si="10">IF(OR(Q48&gt;0,Z48&gt;0,AB48&gt;0,AD48&gt;0),0,K48)</f>
        <v>0</v>
      </c>
      <c r="M48" s="396">
        <f t="shared" ref="M48:M75" si="11">SUMPRODUCT((E48:I48&gt;6)*(E48:I48&lt;18))</f>
        <v>0</v>
      </c>
      <c r="N48" s="394">
        <f t="shared" ref="N48:N78" si="12">IF(AND(K48=0,M48=1),C$23*0.12,0)</f>
        <v>0</v>
      </c>
      <c r="O48" s="395">
        <f t="shared" ref="O48:O78" si="13">IF(OR(Z48&gt;0,AB48&gt;0),0,N48)</f>
        <v>0</v>
      </c>
      <c r="P48" s="397">
        <f t="shared" ref="P48:P75" si="14">COUNTIF(E48:I48,"&lt;16")</f>
        <v>0</v>
      </c>
      <c r="Q48" s="394">
        <f t="shared" ref="Q48:Q78" si="15">IF(P48=2,C$23*0.36,0)</f>
        <v>0</v>
      </c>
      <c r="R48" s="395">
        <f t="shared" ref="R48:R78" si="16">IF(OR(Z48&gt;0,AB48&gt;0,AD48&gt;0),0,Q48)</f>
        <v>0</v>
      </c>
      <c r="S48" s="398">
        <f t="shared" ref="S48:S75" si="17">SUMPRODUCT((E48:I48&gt;15)*(E48:I48&lt;18))</f>
        <v>0</v>
      </c>
      <c r="T48" s="399">
        <f t="shared" ref="T48:T78" si="18">IF(S48=2,C$23*0.24,0)</f>
        <v>0</v>
      </c>
      <c r="U48" s="394">
        <f t="shared" ref="U48:U78" si="19">IF(OR(Z48&gt;0,AB48&gt;0,AD48&gt;0),0,T48)</f>
        <v>0</v>
      </c>
      <c r="V48" s="400">
        <f t="shared" ref="V48:V75" si="20">SUMPRODUCT((E48:I48&gt;6)*(E48:I48&lt;16))+SUMPRODUCT((E48:I48&gt;15)*(E48:I48&lt;18))</f>
        <v>0</v>
      </c>
      <c r="W48" s="394">
        <f t="shared" ref="W48:W78" si="21">IF(AND(Q48=0,V48=2),C$23*0.24,0)</f>
        <v>0</v>
      </c>
      <c r="X48" s="395">
        <f t="shared" ref="X48:X78" si="22">IF(OR(T48&gt;0,Z48&gt;0,AB48&gt;0,AD48&gt;0),0,W48)</f>
        <v>0</v>
      </c>
      <c r="Y48" s="401">
        <f t="shared" ref="Y48:Y75" si="23">COUNTIF(E48:I48,"&lt;18")</f>
        <v>0</v>
      </c>
      <c r="Z48" s="365">
        <f t="shared" ref="Z48:Z78" si="24">IF(Y48=3,C$23*0.36,0)</f>
        <v>0</v>
      </c>
      <c r="AA48" s="401">
        <f t="shared" ref="AA48:AA75" si="25">COUNTIF(E48:I48,"&lt;18")</f>
        <v>0</v>
      </c>
      <c r="AB48" s="365">
        <f t="shared" ref="AB48:AB78" si="26">IF(AA48=4,C$23*0.48,0)</f>
        <v>0</v>
      </c>
      <c r="AC48" s="401">
        <f t="shared" ref="AC48:AC75" si="27">COUNTIF(E48:I48,"&lt;18")</f>
        <v>0</v>
      </c>
      <c r="AD48" s="365">
        <f t="shared" ref="AD48:AD78" si="28">IF(AC48=5,C$23*0.6,0)</f>
        <v>0</v>
      </c>
      <c r="AE48" s="402"/>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row>
    <row r="49" spans="1:64" ht="18" hidden="1" customHeight="1">
      <c r="A49" s="358"/>
      <c r="B49" s="359"/>
      <c r="C49" s="369"/>
      <c r="D49" s="384"/>
      <c r="E49" s="324">
        <f>IF(E8&gt;$E$2+1,"",DATEDIF(E8,$E$2+1,"y"))</f>
        <v>122</v>
      </c>
      <c r="F49" s="324">
        <f>IF(F8&gt;$E$2+1,"",DATEDIF(F8,$E$2+1,"y"))</f>
        <v>122</v>
      </c>
      <c r="G49" s="324">
        <f>IF(G8&gt;$E$2+1,"",DATEDIF(G8,$E$2+1,"y"))</f>
        <v>122</v>
      </c>
      <c r="H49" s="324">
        <f>IF(H8&gt;$E$2+1,"",DATEDIF(H8,$E$2+1,"y"))</f>
        <v>122</v>
      </c>
      <c r="I49" s="325">
        <f>IF(I8&gt;$E$2+1,"",DATEDIF(I8,$E$2+1,"y"))</f>
        <v>122</v>
      </c>
      <c r="J49" s="393">
        <f t="shared" si="8"/>
        <v>0</v>
      </c>
      <c r="K49" s="394">
        <f t="shared" si="9"/>
        <v>0</v>
      </c>
      <c r="L49" s="395">
        <f t="shared" si="10"/>
        <v>0</v>
      </c>
      <c r="M49" s="396">
        <f t="shared" si="11"/>
        <v>0</v>
      </c>
      <c r="N49" s="394">
        <f t="shared" si="12"/>
        <v>0</v>
      </c>
      <c r="O49" s="395">
        <f t="shared" si="13"/>
        <v>0</v>
      </c>
      <c r="P49" s="397">
        <f t="shared" si="14"/>
        <v>0</v>
      </c>
      <c r="Q49" s="394">
        <f t="shared" si="15"/>
        <v>0</v>
      </c>
      <c r="R49" s="395">
        <f t="shared" si="16"/>
        <v>0</v>
      </c>
      <c r="S49" s="398">
        <f t="shared" si="17"/>
        <v>0</v>
      </c>
      <c r="T49" s="370">
        <f t="shared" si="18"/>
        <v>0</v>
      </c>
      <c r="U49" s="394">
        <f t="shared" si="19"/>
        <v>0</v>
      </c>
      <c r="V49" s="400">
        <f t="shared" si="20"/>
        <v>0</v>
      </c>
      <c r="W49" s="394">
        <f t="shared" si="21"/>
        <v>0</v>
      </c>
      <c r="X49" s="395">
        <f t="shared" si="22"/>
        <v>0</v>
      </c>
      <c r="Y49" s="102">
        <f t="shared" si="23"/>
        <v>0</v>
      </c>
      <c r="Z49" s="339">
        <f t="shared" si="24"/>
        <v>0</v>
      </c>
      <c r="AA49" s="102">
        <f t="shared" si="25"/>
        <v>0</v>
      </c>
      <c r="AB49" s="339">
        <f t="shared" si="26"/>
        <v>0</v>
      </c>
      <c r="AC49" s="102">
        <f t="shared" si="27"/>
        <v>0</v>
      </c>
      <c r="AD49" s="339">
        <f t="shared" si="28"/>
        <v>0</v>
      </c>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row>
    <row r="50" spans="1:64" ht="18" hidden="1" customHeight="1">
      <c r="A50" s="358"/>
      <c r="B50" s="359"/>
      <c r="C50" s="369"/>
      <c r="D50" s="384"/>
      <c r="E50" s="324">
        <f>IF(E8&gt;$E$2+2,"",DATEDIF(E8,$E$2+2,"y"))</f>
        <v>122</v>
      </c>
      <c r="F50" s="324">
        <f>IF(F8&gt;$E$2+2,"",DATEDIF(F8,$E$2+2,"y"))</f>
        <v>122</v>
      </c>
      <c r="G50" s="324">
        <f>IF(G8&gt;$E$2+2,"",DATEDIF(G8,$E$2+2,"y"))</f>
        <v>122</v>
      </c>
      <c r="H50" s="324">
        <f>IF(H8&gt;$E$2+2,"",DATEDIF(H8,$E$2+2,"y"))</f>
        <v>122</v>
      </c>
      <c r="I50" s="325">
        <f>IF(I8&gt;$E$2+2,"",DATEDIF(I8,$E$2+2,"y"))</f>
        <v>122</v>
      </c>
      <c r="J50" s="393">
        <f t="shared" si="8"/>
        <v>0</v>
      </c>
      <c r="K50" s="394">
        <f t="shared" si="9"/>
        <v>0</v>
      </c>
      <c r="L50" s="395">
        <f t="shared" si="10"/>
        <v>0</v>
      </c>
      <c r="M50" s="396">
        <f t="shared" si="11"/>
        <v>0</v>
      </c>
      <c r="N50" s="394">
        <f t="shared" si="12"/>
        <v>0</v>
      </c>
      <c r="O50" s="395">
        <f t="shared" si="13"/>
        <v>0</v>
      </c>
      <c r="P50" s="397">
        <f t="shared" si="14"/>
        <v>0</v>
      </c>
      <c r="Q50" s="394">
        <f t="shared" si="15"/>
        <v>0</v>
      </c>
      <c r="R50" s="395">
        <f t="shared" si="16"/>
        <v>0</v>
      </c>
      <c r="S50" s="398">
        <f t="shared" si="17"/>
        <v>0</v>
      </c>
      <c r="T50" s="370">
        <f t="shared" si="18"/>
        <v>0</v>
      </c>
      <c r="U50" s="394">
        <f t="shared" si="19"/>
        <v>0</v>
      </c>
      <c r="V50" s="400">
        <f t="shared" si="20"/>
        <v>0</v>
      </c>
      <c r="W50" s="394">
        <f t="shared" si="21"/>
        <v>0</v>
      </c>
      <c r="X50" s="395">
        <f t="shared" si="22"/>
        <v>0</v>
      </c>
      <c r="Y50" s="102">
        <f t="shared" si="23"/>
        <v>0</v>
      </c>
      <c r="Z50" s="339">
        <f t="shared" si="24"/>
        <v>0</v>
      </c>
      <c r="AA50" s="102">
        <f t="shared" si="25"/>
        <v>0</v>
      </c>
      <c r="AB50" s="339">
        <f t="shared" si="26"/>
        <v>0</v>
      </c>
      <c r="AC50" s="102">
        <f t="shared" si="27"/>
        <v>0</v>
      </c>
      <c r="AD50" s="339">
        <f t="shared" si="28"/>
        <v>0</v>
      </c>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row>
    <row r="51" spans="1:64" ht="18" hidden="1" customHeight="1">
      <c r="A51" s="358"/>
      <c r="B51" s="359"/>
      <c r="C51" s="369"/>
      <c r="D51" s="384"/>
      <c r="E51" s="324">
        <f>IF(E8&gt;$E$2+3,"",DATEDIF(E8,$E$2+3,"y"))</f>
        <v>122</v>
      </c>
      <c r="F51" s="324">
        <f>IF(F8&gt;$E$2+3,"",DATEDIF(F8,$E$2+3,"y"))</f>
        <v>122</v>
      </c>
      <c r="G51" s="324">
        <f>IF(G8&gt;$E$2+3,"",DATEDIF(G8,$E$2+3,"y"))</f>
        <v>122</v>
      </c>
      <c r="H51" s="324">
        <f>IF(H8&gt;$E$2+3,"",DATEDIF(H8,$E$2+3,"y"))</f>
        <v>122</v>
      </c>
      <c r="I51" s="325">
        <f>IF(I8&gt;$E$2+3,"",DATEDIF(I8,$E$2+3,"y"))</f>
        <v>122</v>
      </c>
      <c r="J51" s="393">
        <f t="shared" si="8"/>
        <v>0</v>
      </c>
      <c r="K51" s="394">
        <f t="shared" si="9"/>
        <v>0</v>
      </c>
      <c r="L51" s="395">
        <f t="shared" si="10"/>
        <v>0</v>
      </c>
      <c r="M51" s="396">
        <f t="shared" si="11"/>
        <v>0</v>
      </c>
      <c r="N51" s="394">
        <f t="shared" si="12"/>
        <v>0</v>
      </c>
      <c r="O51" s="395">
        <f t="shared" si="13"/>
        <v>0</v>
      </c>
      <c r="P51" s="397">
        <f t="shared" si="14"/>
        <v>0</v>
      </c>
      <c r="Q51" s="394">
        <f t="shared" si="15"/>
        <v>0</v>
      </c>
      <c r="R51" s="395">
        <f t="shared" si="16"/>
        <v>0</v>
      </c>
      <c r="S51" s="398">
        <f t="shared" si="17"/>
        <v>0</v>
      </c>
      <c r="T51" s="370">
        <f t="shared" si="18"/>
        <v>0</v>
      </c>
      <c r="U51" s="394">
        <f t="shared" si="19"/>
        <v>0</v>
      </c>
      <c r="V51" s="400">
        <f t="shared" si="20"/>
        <v>0</v>
      </c>
      <c r="W51" s="394">
        <f t="shared" si="21"/>
        <v>0</v>
      </c>
      <c r="X51" s="395">
        <f t="shared" si="22"/>
        <v>0</v>
      </c>
      <c r="Y51" s="102">
        <f t="shared" si="23"/>
        <v>0</v>
      </c>
      <c r="Z51" s="339">
        <f t="shared" si="24"/>
        <v>0</v>
      </c>
      <c r="AA51" s="102">
        <f t="shared" si="25"/>
        <v>0</v>
      </c>
      <c r="AB51" s="339">
        <f t="shared" si="26"/>
        <v>0</v>
      </c>
      <c r="AC51" s="102">
        <f t="shared" si="27"/>
        <v>0</v>
      </c>
      <c r="AD51" s="339">
        <f t="shared" si="28"/>
        <v>0</v>
      </c>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row>
    <row r="52" spans="1:64" ht="18" hidden="1" customHeight="1">
      <c r="A52" s="358"/>
      <c r="B52" s="359"/>
      <c r="C52" s="369"/>
      <c r="D52" s="384"/>
      <c r="E52" s="324">
        <f>IF(E8&gt;$E$2+4,"",DATEDIF(E8,$E$2+4,"y"))</f>
        <v>122</v>
      </c>
      <c r="F52" s="324">
        <f>IF(F8&gt;$E$2+4,"",DATEDIF(F8,$E$2+4,"y"))</f>
        <v>122</v>
      </c>
      <c r="G52" s="324">
        <f>IF(G8&gt;$E$2+4,"",DATEDIF(G8,$E$2+4,"y"))</f>
        <v>122</v>
      </c>
      <c r="H52" s="324">
        <f>IF(H8&gt;$E$2+4,"",DATEDIF(H8,$E$2+4,"y"))</f>
        <v>122</v>
      </c>
      <c r="I52" s="325">
        <f>IF(I8&gt;$E$2+4,"",DATEDIF(I8,$E$2+4,"y"))</f>
        <v>122</v>
      </c>
      <c r="J52" s="393">
        <f t="shared" si="8"/>
        <v>0</v>
      </c>
      <c r="K52" s="394">
        <f t="shared" si="9"/>
        <v>0</v>
      </c>
      <c r="L52" s="395">
        <f t="shared" si="10"/>
        <v>0</v>
      </c>
      <c r="M52" s="396">
        <f t="shared" si="11"/>
        <v>0</v>
      </c>
      <c r="N52" s="394">
        <f t="shared" si="12"/>
        <v>0</v>
      </c>
      <c r="O52" s="395">
        <f t="shared" si="13"/>
        <v>0</v>
      </c>
      <c r="P52" s="397">
        <f t="shared" si="14"/>
        <v>0</v>
      </c>
      <c r="Q52" s="394">
        <f t="shared" si="15"/>
        <v>0</v>
      </c>
      <c r="R52" s="395">
        <f t="shared" si="16"/>
        <v>0</v>
      </c>
      <c r="S52" s="398">
        <f t="shared" si="17"/>
        <v>0</v>
      </c>
      <c r="T52" s="370">
        <f t="shared" si="18"/>
        <v>0</v>
      </c>
      <c r="U52" s="394">
        <f t="shared" si="19"/>
        <v>0</v>
      </c>
      <c r="V52" s="400">
        <f t="shared" si="20"/>
        <v>0</v>
      </c>
      <c r="W52" s="394">
        <f t="shared" si="21"/>
        <v>0</v>
      </c>
      <c r="X52" s="395">
        <f t="shared" si="22"/>
        <v>0</v>
      </c>
      <c r="Y52" s="102">
        <f t="shared" si="23"/>
        <v>0</v>
      </c>
      <c r="Z52" s="339">
        <f t="shared" si="24"/>
        <v>0</v>
      </c>
      <c r="AA52" s="102">
        <f t="shared" si="25"/>
        <v>0</v>
      </c>
      <c r="AB52" s="339">
        <f t="shared" si="26"/>
        <v>0</v>
      </c>
      <c r="AC52" s="102">
        <f t="shared" si="27"/>
        <v>0</v>
      </c>
      <c r="AD52" s="339">
        <f t="shared" si="28"/>
        <v>0</v>
      </c>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row>
    <row r="53" spans="1:64" ht="18" hidden="1" customHeight="1">
      <c r="A53" s="358"/>
      <c r="B53" s="359"/>
      <c r="C53" s="369"/>
      <c r="D53" s="384"/>
      <c r="E53" s="324">
        <f>IF(E8&gt;$E$2+5,"",DATEDIF(E8,$E$2+5,"y"))</f>
        <v>122</v>
      </c>
      <c r="F53" s="324">
        <f>IF(F8&gt;$E$2+5,"",DATEDIF(F8,$E$2+5,"y"))</f>
        <v>122</v>
      </c>
      <c r="G53" s="324">
        <f>IF(G8&gt;$E$2+5,"",DATEDIF(G8,$E$2+5,"y"))</f>
        <v>122</v>
      </c>
      <c r="H53" s="324">
        <f>IF(H8&gt;$E$2+5,"",DATEDIF(H8,$E$2+5,"y"))</f>
        <v>122</v>
      </c>
      <c r="I53" s="325">
        <f>IF(I8&gt;$E$2+5,"",DATEDIF(I8,$E$2+5,"y"))</f>
        <v>122</v>
      </c>
      <c r="J53" s="393">
        <f t="shared" si="8"/>
        <v>0</v>
      </c>
      <c r="K53" s="394">
        <f t="shared" si="9"/>
        <v>0</v>
      </c>
      <c r="L53" s="395">
        <f t="shared" si="10"/>
        <v>0</v>
      </c>
      <c r="M53" s="396">
        <f t="shared" si="11"/>
        <v>0</v>
      </c>
      <c r="N53" s="394">
        <f t="shared" si="12"/>
        <v>0</v>
      </c>
      <c r="O53" s="395">
        <f t="shared" si="13"/>
        <v>0</v>
      </c>
      <c r="P53" s="397">
        <f t="shared" si="14"/>
        <v>0</v>
      </c>
      <c r="Q53" s="394">
        <f t="shared" si="15"/>
        <v>0</v>
      </c>
      <c r="R53" s="395">
        <f t="shared" si="16"/>
        <v>0</v>
      </c>
      <c r="S53" s="398">
        <f t="shared" si="17"/>
        <v>0</v>
      </c>
      <c r="T53" s="370">
        <f t="shared" si="18"/>
        <v>0</v>
      </c>
      <c r="U53" s="394">
        <f t="shared" si="19"/>
        <v>0</v>
      </c>
      <c r="V53" s="400">
        <f t="shared" si="20"/>
        <v>0</v>
      </c>
      <c r="W53" s="394">
        <f t="shared" si="21"/>
        <v>0</v>
      </c>
      <c r="X53" s="395">
        <f t="shared" si="22"/>
        <v>0</v>
      </c>
      <c r="Y53" s="102">
        <f t="shared" si="23"/>
        <v>0</v>
      </c>
      <c r="Z53" s="339">
        <f t="shared" si="24"/>
        <v>0</v>
      </c>
      <c r="AA53" s="102">
        <f t="shared" si="25"/>
        <v>0</v>
      </c>
      <c r="AB53" s="339">
        <f t="shared" si="26"/>
        <v>0</v>
      </c>
      <c r="AC53" s="102">
        <f t="shared" si="27"/>
        <v>0</v>
      </c>
      <c r="AD53" s="339">
        <f t="shared" si="28"/>
        <v>0</v>
      </c>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row>
    <row r="54" spans="1:64" ht="18" hidden="1" customHeight="1">
      <c r="A54" s="358"/>
      <c r="B54" s="359"/>
      <c r="C54" s="369"/>
      <c r="D54" s="384"/>
      <c r="E54" s="324">
        <f>IF(E8&gt;$E$2+6,"",DATEDIF(E8,$E$2+6,"y"))</f>
        <v>122</v>
      </c>
      <c r="F54" s="324">
        <f>IF(F8&gt;$E$2+6,"",DATEDIF(F8,$E$2+6,"y"))</f>
        <v>122</v>
      </c>
      <c r="G54" s="324">
        <f>IF(G8&gt;$E$2+6,"",DATEDIF(G8,$E$2+6,"y"))</f>
        <v>122</v>
      </c>
      <c r="H54" s="324">
        <f>IF(H8&gt;$E$2+6,"",DATEDIF(H8,$E$2+6,"y"))</f>
        <v>122</v>
      </c>
      <c r="I54" s="325">
        <f>IF(I8&gt;$E$2+6,"",DATEDIF(I8,$E$2+6,"y"))</f>
        <v>122</v>
      </c>
      <c r="J54" s="393">
        <f t="shared" si="8"/>
        <v>0</v>
      </c>
      <c r="K54" s="394">
        <f t="shared" si="9"/>
        <v>0</v>
      </c>
      <c r="L54" s="395">
        <f t="shared" si="10"/>
        <v>0</v>
      </c>
      <c r="M54" s="396">
        <f t="shared" si="11"/>
        <v>0</v>
      </c>
      <c r="N54" s="394">
        <f t="shared" si="12"/>
        <v>0</v>
      </c>
      <c r="O54" s="395">
        <f t="shared" si="13"/>
        <v>0</v>
      </c>
      <c r="P54" s="397">
        <f t="shared" si="14"/>
        <v>0</v>
      </c>
      <c r="Q54" s="394">
        <f t="shared" si="15"/>
        <v>0</v>
      </c>
      <c r="R54" s="395">
        <f t="shared" si="16"/>
        <v>0</v>
      </c>
      <c r="S54" s="398">
        <f t="shared" si="17"/>
        <v>0</v>
      </c>
      <c r="T54" s="370">
        <f t="shared" si="18"/>
        <v>0</v>
      </c>
      <c r="U54" s="394">
        <f t="shared" si="19"/>
        <v>0</v>
      </c>
      <c r="V54" s="400">
        <f t="shared" si="20"/>
        <v>0</v>
      </c>
      <c r="W54" s="394">
        <f t="shared" si="21"/>
        <v>0</v>
      </c>
      <c r="X54" s="395">
        <f t="shared" si="22"/>
        <v>0</v>
      </c>
      <c r="Y54" s="102">
        <f t="shared" si="23"/>
        <v>0</v>
      </c>
      <c r="Z54" s="339">
        <f t="shared" si="24"/>
        <v>0</v>
      </c>
      <c r="AA54" s="102">
        <f t="shared" si="25"/>
        <v>0</v>
      </c>
      <c r="AB54" s="339">
        <f t="shared" si="26"/>
        <v>0</v>
      </c>
      <c r="AC54" s="102">
        <f t="shared" si="27"/>
        <v>0</v>
      </c>
      <c r="AD54" s="339">
        <f t="shared" si="28"/>
        <v>0</v>
      </c>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row>
    <row r="55" spans="1:64" ht="18" hidden="1" customHeight="1">
      <c r="A55" s="358"/>
      <c r="B55" s="359"/>
      <c r="C55" s="369"/>
      <c r="D55" s="384"/>
      <c r="E55" s="324">
        <f>IF(E8&gt;$E$2+7,"",DATEDIF(E8,$E$2+7,"y"))</f>
        <v>122</v>
      </c>
      <c r="F55" s="324">
        <f>IF(F8&gt;$E$2+7,"",DATEDIF(F8,$E$2+7,"y"))</f>
        <v>122</v>
      </c>
      <c r="G55" s="324">
        <f>IF(G8&gt;$E$2+7,"",DATEDIF(G8,$E$2+7,"y"))</f>
        <v>122</v>
      </c>
      <c r="H55" s="324">
        <f>IF(H8&gt;$E$2+7,"",DATEDIF(H8,$E$2+7,"y"))</f>
        <v>122</v>
      </c>
      <c r="I55" s="325">
        <f>IF(I8&gt;$E$2+7,"",DATEDIF(I8,$E$2+7,"y"))</f>
        <v>122</v>
      </c>
      <c r="J55" s="393">
        <f t="shared" si="8"/>
        <v>0</v>
      </c>
      <c r="K55" s="394">
        <f t="shared" si="9"/>
        <v>0</v>
      </c>
      <c r="L55" s="395">
        <f t="shared" si="10"/>
        <v>0</v>
      </c>
      <c r="M55" s="396">
        <f t="shared" si="11"/>
        <v>0</v>
      </c>
      <c r="N55" s="394">
        <f t="shared" si="12"/>
        <v>0</v>
      </c>
      <c r="O55" s="395">
        <f t="shared" si="13"/>
        <v>0</v>
      </c>
      <c r="P55" s="397">
        <f t="shared" si="14"/>
        <v>0</v>
      </c>
      <c r="Q55" s="394">
        <f t="shared" si="15"/>
        <v>0</v>
      </c>
      <c r="R55" s="395">
        <f t="shared" si="16"/>
        <v>0</v>
      </c>
      <c r="S55" s="398">
        <f t="shared" si="17"/>
        <v>0</v>
      </c>
      <c r="T55" s="370">
        <f t="shared" si="18"/>
        <v>0</v>
      </c>
      <c r="U55" s="394">
        <f t="shared" si="19"/>
        <v>0</v>
      </c>
      <c r="V55" s="400">
        <f t="shared" si="20"/>
        <v>0</v>
      </c>
      <c r="W55" s="394">
        <f t="shared" si="21"/>
        <v>0</v>
      </c>
      <c r="X55" s="395">
        <f t="shared" si="22"/>
        <v>0</v>
      </c>
      <c r="Y55" s="102">
        <f t="shared" si="23"/>
        <v>0</v>
      </c>
      <c r="Z55" s="339">
        <f t="shared" si="24"/>
        <v>0</v>
      </c>
      <c r="AA55" s="102">
        <f t="shared" si="25"/>
        <v>0</v>
      </c>
      <c r="AB55" s="339">
        <f t="shared" si="26"/>
        <v>0</v>
      </c>
      <c r="AC55" s="102">
        <f t="shared" si="27"/>
        <v>0</v>
      </c>
      <c r="AD55" s="339">
        <f t="shared" si="28"/>
        <v>0</v>
      </c>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row>
    <row r="56" spans="1:64" ht="18" hidden="1" customHeight="1">
      <c r="A56" s="358"/>
      <c r="B56" s="359"/>
      <c r="C56" s="369"/>
      <c r="D56" s="384"/>
      <c r="E56" s="324">
        <f>IF(E8&gt;$E$2+8,"",DATEDIF(E8,$E$2+8,"y"))</f>
        <v>122</v>
      </c>
      <c r="F56" s="324">
        <f>IF(F8&gt;$E$2+8,"",DATEDIF(F8,$E$2+8,"y"))</f>
        <v>122</v>
      </c>
      <c r="G56" s="324">
        <f>IF(G8&gt;$E$2+8,"",DATEDIF(G8,$E$2+8,"y"))</f>
        <v>122</v>
      </c>
      <c r="H56" s="324">
        <f>IF(H8&gt;$E$2+8,"",DATEDIF(H8,$E$2+8,"y"))</f>
        <v>122</v>
      </c>
      <c r="I56" s="325">
        <f>IF(I8&gt;$E$2+8,"",DATEDIF(I8,$E$2+8,"y"))</f>
        <v>122</v>
      </c>
      <c r="J56" s="393">
        <f t="shared" si="8"/>
        <v>0</v>
      </c>
      <c r="K56" s="394">
        <f t="shared" si="9"/>
        <v>0</v>
      </c>
      <c r="L56" s="395">
        <f t="shared" si="10"/>
        <v>0</v>
      </c>
      <c r="M56" s="396">
        <f t="shared" si="11"/>
        <v>0</v>
      </c>
      <c r="N56" s="394">
        <f t="shared" si="12"/>
        <v>0</v>
      </c>
      <c r="O56" s="395">
        <f t="shared" si="13"/>
        <v>0</v>
      </c>
      <c r="P56" s="397">
        <f t="shared" si="14"/>
        <v>0</v>
      </c>
      <c r="Q56" s="394">
        <f t="shared" si="15"/>
        <v>0</v>
      </c>
      <c r="R56" s="395">
        <f t="shared" si="16"/>
        <v>0</v>
      </c>
      <c r="S56" s="398">
        <f t="shared" si="17"/>
        <v>0</v>
      </c>
      <c r="T56" s="370">
        <f t="shared" si="18"/>
        <v>0</v>
      </c>
      <c r="U56" s="394">
        <f t="shared" si="19"/>
        <v>0</v>
      </c>
      <c r="V56" s="400">
        <f t="shared" si="20"/>
        <v>0</v>
      </c>
      <c r="W56" s="394">
        <f t="shared" si="21"/>
        <v>0</v>
      </c>
      <c r="X56" s="395">
        <f t="shared" si="22"/>
        <v>0</v>
      </c>
      <c r="Y56" s="102">
        <f t="shared" si="23"/>
        <v>0</v>
      </c>
      <c r="Z56" s="339">
        <f t="shared" si="24"/>
        <v>0</v>
      </c>
      <c r="AA56" s="102">
        <f t="shared" si="25"/>
        <v>0</v>
      </c>
      <c r="AB56" s="339">
        <f t="shared" si="26"/>
        <v>0</v>
      </c>
      <c r="AC56" s="102">
        <f t="shared" si="27"/>
        <v>0</v>
      </c>
      <c r="AD56" s="339">
        <f t="shared" si="28"/>
        <v>0</v>
      </c>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row>
    <row r="57" spans="1:64" ht="18" hidden="1" customHeight="1">
      <c r="A57" s="358"/>
      <c r="B57" s="359"/>
      <c r="C57" s="369"/>
      <c r="D57" s="384"/>
      <c r="E57" s="324">
        <f>IF(E8&gt;$E$2+9,"",DATEDIF(E8,$E$2+9,"y"))</f>
        <v>122</v>
      </c>
      <c r="F57" s="324">
        <f>IF(F8&gt;$E$2+9,"",DATEDIF(F8,$E$2+9,"y"))</f>
        <v>122</v>
      </c>
      <c r="G57" s="324">
        <f>IF(G8&gt;$E$2+9,"",DATEDIF(G8,$E$2+9,"y"))</f>
        <v>122</v>
      </c>
      <c r="H57" s="324">
        <f>IF(H8&gt;$E$2+9,"",DATEDIF(H8,$E$2+9,"y"))</f>
        <v>122</v>
      </c>
      <c r="I57" s="325">
        <f>IF(I8&gt;$E$2+9,"",DATEDIF(I8,$E$2+9,"y"))</f>
        <v>122</v>
      </c>
      <c r="J57" s="393">
        <f t="shared" si="8"/>
        <v>0</v>
      </c>
      <c r="K57" s="394">
        <f t="shared" si="9"/>
        <v>0</v>
      </c>
      <c r="L57" s="395">
        <f t="shared" si="10"/>
        <v>0</v>
      </c>
      <c r="M57" s="396">
        <f t="shared" si="11"/>
        <v>0</v>
      </c>
      <c r="N57" s="394">
        <f t="shared" si="12"/>
        <v>0</v>
      </c>
      <c r="O57" s="395">
        <f t="shared" si="13"/>
        <v>0</v>
      </c>
      <c r="P57" s="397">
        <f t="shared" si="14"/>
        <v>0</v>
      </c>
      <c r="Q57" s="394">
        <f t="shared" si="15"/>
        <v>0</v>
      </c>
      <c r="R57" s="395">
        <f t="shared" si="16"/>
        <v>0</v>
      </c>
      <c r="S57" s="398">
        <f t="shared" si="17"/>
        <v>0</v>
      </c>
      <c r="T57" s="370">
        <f t="shared" si="18"/>
        <v>0</v>
      </c>
      <c r="U57" s="394">
        <f t="shared" si="19"/>
        <v>0</v>
      </c>
      <c r="V57" s="400">
        <f t="shared" si="20"/>
        <v>0</v>
      </c>
      <c r="W57" s="394">
        <f t="shared" si="21"/>
        <v>0</v>
      </c>
      <c r="X57" s="395">
        <f t="shared" si="22"/>
        <v>0</v>
      </c>
      <c r="Y57" s="102">
        <f t="shared" si="23"/>
        <v>0</v>
      </c>
      <c r="Z57" s="339">
        <f t="shared" si="24"/>
        <v>0</v>
      </c>
      <c r="AA57" s="102">
        <f t="shared" si="25"/>
        <v>0</v>
      </c>
      <c r="AB57" s="339">
        <f t="shared" si="26"/>
        <v>0</v>
      </c>
      <c r="AC57" s="102">
        <f t="shared" si="27"/>
        <v>0</v>
      </c>
      <c r="AD57" s="339">
        <f t="shared" si="28"/>
        <v>0</v>
      </c>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row>
    <row r="58" spans="1:64" ht="18" hidden="1" customHeight="1">
      <c r="A58" s="358"/>
      <c r="B58" s="359"/>
      <c r="C58" s="369"/>
      <c r="D58" s="384"/>
      <c r="E58" s="324">
        <f>IF(E8&gt;$E$2+10,"",DATEDIF(E8,$E$2+10,"y"))</f>
        <v>122</v>
      </c>
      <c r="F58" s="324">
        <f>IF(F8&gt;$E$2+10,"",DATEDIF(F8,$E$2+10,"y"))</f>
        <v>122</v>
      </c>
      <c r="G58" s="324">
        <f>IF(G8&gt;$E$2+10,"",DATEDIF(G8,$E$2+10,"y"))</f>
        <v>122</v>
      </c>
      <c r="H58" s="324">
        <f>IF(H8&gt;$E$2+10,"",DATEDIF(H8,$E$2+10,"y"))</f>
        <v>122</v>
      </c>
      <c r="I58" s="325">
        <f>IF(I8&gt;$E$2+10,"",DATEDIF(I8,$E$2+10,"y"))</f>
        <v>122</v>
      </c>
      <c r="J58" s="393">
        <f t="shared" si="8"/>
        <v>0</v>
      </c>
      <c r="K58" s="394">
        <f t="shared" si="9"/>
        <v>0</v>
      </c>
      <c r="L58" s="395">
        <f t="shared" si="10"/>
        <v>0</v>
      </c>
      <c r="M58" s="396">
        <f t="shared" si="11"/>
        <v>0</v>
      </c>
      <c r="N58" s="394">
        <f t="shared" si="12"/>
        <v>0</v>
      </c>
      <c r="O58" s="395">
        <f t="shared" si="13"/>
        <v>0</v>
      </c>
      <c r="P58" s="397">
        <f t="shared" si="14"/>
        <v>0</v>
      </c>
      <c r="Q58" s="394">
        <f t="shared" si="15"/>
        <v>0</v>
      </c>
      <c r="R58" s="395">
        <f t="shared" si="16"/>
        <v>0</v>
      </c>
      <c r="S58" s="398">
        <f t="shared" si="17"/>
        <v>0</v>
      </c>
      <c r="T58" s="370">
        <f t="shared" si="18"/>
        <v>0</v>
      </c>
      <c r="U58" s="394">
        <f t="shared" si="19"/>
        <v>0</v>
      </c>
      <c r="V58" s="400">
        <f t="shared" si="20"/>
        <v>0</v>
      </c>
      <c r="W58" s="394">
        <f t="shared" si="21"/>
        <v>0</v>
      </c>
      <c r="X58" s="395">
        <f t="shared" si="22"/>
        <v>0</v>
      </c>
      <c r="Y58" s="102">
        <f t="shared" si="23"/>
        <v>0</v>
      </c>
      <c r="Z58" s="339">
        <f t="shared" si="24"/>
        <v>0</v>
      </c>
      <c r="AA58" s="102">
        <f t="shared" si="25"/>
        <v>0</v>
      </c>
      <c r="AB58" s="339">
        <f t="shared" si="26"/>
        <v>0</v>
      </c>
      <c r="AC58" s="102">
        <f t="shared" si="27"/>
        <v>0</v>
      </c>
      <c r="AD58" s="339">
        <f t="shared" si="28"/>
        <v>0</v>
      </c>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row>
    <row r="59" spans="1:64" ht="18" hidden="1" customHeight="1">
      <c r="A59" s="358"/>
      <c r="B59" s="359"/>
      <c r="C59" s="369"/>
      <c r="D59" s="384"/>
      <c r="E59" s="324">
        <f>IF(E8&gt;$E$2+11,"",DATEDIF(E8,$E$2+11,"y"))</f>
        <v>122</v>
      </c>
      <c r="F59" s="324">
        <f>IF(F8&gt;$E$2+11,"",DATEDIF(F8,$E$2+11,"y"))</f>
        <v>122</v>
      </c>
      <c r="G59" s="324">
        <f>IF(G8&gt;$E$2+11,"",DATEDIF(G8,$E$2+11,"y"))</f>
        <v>122</v>
      </c>
      <c r="H59" s="324">
        <f>IF(H8&gt;$E$2+11,"",DATEDIF(H8,$E$2+11,"y"))</f>
        <v>122</v>
      </c>
      <c r="I59" s="325">
        <f>IF(I8&gt;$E$2+11,"",DATEDIF(I8,$E$2+11,"y"))</f>
        <v>122</v>
      </c>
      <c r="J59" s="393">
        <f t="shared" si="8"/>
        <v>0</v>
      </c>
      <c r="K59" s="394">
        <f t="shared" si="9"/>
        <v>0</v>
      </c>
      <c r="L59" s="395">
        <f t="shared" si="10"/>
        <v>0</v>
      </c>
      <c r="M59" s="396">
        <f t="shared" si="11"/>
        <v>0</v>
      </c>
      <c r="N59" s="394">
        <f t="shared" si="12"/>
        <v>0</v>
      </c>
      <c r="O59" s="395">
        <f t="shared" si="13"/>
        <v>0</v>
      </c>
      <c r="P59" s="397">
        <f t="shared" si="14"/>
        <v>0</v>
      </c>
      <c r="Q59" s="394">
        <f t="shared" si="15"/>
        <v>0</v>
      </c>
      <c r="R59" s="395">
        <f t="shared" si="16"/>
        <v>0</v>
      </c>
      <c r="S59" s="398">
        <f t="shared" si="17"/>
        <v>0</v>
      </c>
      <c r="T59" s="370">
        <f t="shared" si="18"/>
        <v>0</v>
      </c>
      <c r="U59" s="394">
        <f t="shared" si="19"/>
        <v>0</v>
      </c>
      <c r="V59" s="400">
        <f t="shared" si="20"/>
        <v>0</v>
      </c>
      <c r="W59" s="394">
        <f t="shared" si="21"/>
        <v>0</v>
      </c>
      <c r="X59" s="395">
        <f t="shared" si="22"/>
        <v>0</v>
      </c>
      <c r="Y59" s="102">
        <f t="shared" si="23"/>
        <v>0</v>
      </c>
      <c r="Z59" s="339">
        <f t="shared" si="24"/>
        <v>0</v>
      </c>
      <c r="AA59" s="102">
        <f t="shared" si="25"/>
        <v>0</v>
      </c>
      <c r="AB59" s="339">
        <f t="shared" si="26"/>
        <v>0</v>
      </c>
      <c r="AC59" s="102">
        <f t="shared" si="27"/>
        <v>0</v>
      </c>
      <c r="AD59" s="339">
        <f t="shared" si="28"/>
        <v>0</v>
      </c>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row>
    <row r="60" spans="1:64" ht="18" hidden="1" customHeight="1">
      <c r="A60" s="358"/>
      <c r="B60" s="359"/>
      <c r="C60" s="369"/>
      <c r="D60" s="384"/>
      <c r="E60" s="324">
        <f>IF(E8&gt;$E$2+12,"",DATEDIF(E8,$E$2+12,"y"))</f>
        <v>122</v>
      </c>
      <c r="F60" s="324">
        <f>IF(F8&gt;$E$2+12,"",DATEDIF(F8,$E$2+12,"y"))</f>
        <v>122</v>
      </c>
      <c r="G60" s="324">
        <f>IF(G8&gt;$E$2+12,"",DATEDIF(G8,$E$2+12,"y"))</f>
        <v>122</v>
      </c>
      <c r="H60" s="324">
        <f>IF(H8&gt;$E$2+12,"",DATEDIF(H8,$E$2+12,"y"))</f>
        <v>122</v>
      </c>
      <c r="I60" s="325">
        <f>IF(I8&gt;$E$2+12,"",DATEDIF(I8,$E$2+12,"y"))</f>
        <v>122</v>
      </c>
      <c r="J60" s="393">
        <f t="shared" si="8"/>
        <v>0</v>
      </c>
      <c r="K60" s="394">
        <f t="shared" si="9"/>
        <v>0</v>
      </c>
      <c r="L60" s="395">
        <f t="shared" si="10"/>
        <v>0</v>
      </c>
      <c r="M60" s="396">
        <f t="shared" si="11"/>
        <v>0</v>
      </c>
      <c r="N60" s="394">
        <f t="shared" si="12"/>
        <v>0</v>
      </c>
      <c r="O60" s="395">
        <f t="shared" si="13"/>
        <v>0</v>
      </c>
      <c r="P60" s="397">
        <f t="shared" si="14"/>
        <v>0</v>
      </c>
      <c r="Q60" s="394">
        <f t="shared" si="15"/>
        <v>0</v>
      </c>
      <c r="R60" s="395">
        <f t="shared" si="16"/>
        <v>0</v>
      </c>
      <c r="S60" s="398">
        <f t="shared" si="17"/>
        <v>0</v>
      </c>
      <c r="T60" s="370">
        <f t="shared" si="18"/>
        <v>0</v>
      </c>
      <c r="U60" s="394">
        <f t="shared" si="19"/>
        <v>0</v>
      </c>
      <c r="V60" s="400">
        <f t="shared" si="20"/>
        <v>0</v>
      </c>
      <c r="W60" s="394">
        <f t="shared" si="21"/>
        <v>0</v>
      </c>
      <c r="X60" s="395">
        <f t="shared" si="22"/>
        <v>0</v>
      </c>
      <c r="Y60" s="102">
        <f t="shared" si="23"/>
        <v>0</v>
      </c>
      <c r="Z60" s="339">
        <f t="shared" si="24"/>
        <v>0</v>
      </c>
      <c r="AA60" s="102">
        <f t="shared" si="25"/>
        <v>0</v>
      </c>
      <c r="AB60" s="339">
        <f t="shared" si="26"/>
        <v>0</v>
      </c>
      <c r="AC60" s="102">
        <f t="shared" si="27"/>
        <v>0</v>
      </c>
      <c r="AD60" s="339">
        <f t="shared" si="28"/>
        <v>0</v>
      </c>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row>
    <row r="61" spans="1:64" ht="18" hidden="1" customHeight="1">
      <c r="A61" s="358"/>
      <c r="B61" s="359"/>
      <c r="C61" s="369"/>
      <c r="D61" s="384"/>
      <c r="E61" s="324">
        <f>IF(E8&gt;$E$2+13,"",DATEDIF(E8,$E$2+13,"y"))</f>
        <v>122</v>
      </c>
      <c r="F61" s="324">
        <f>IF(F8&gt;$E$2+13,"",DATEDIF(F8,$E$2+13,"y"))</f>
        <v>122</v>
      </c>
      <c r="G61" s="324">
        <f>IF(G8&gt;$E$2+13,"",DATEDIF(G8,$E$2+13,"y"))</f>
        <v>122</v>
      </c>
      <c r="H61" s="324">
        <f>IF(H8&gt;$E$2+13,"",DATEDIF(H8,$E$2+13,"y"))</f>
        <v>122</v>
      </c>
      <c r="I61" s="325">
        <f>IF(I8&gt;$E$2+13,"",DATEDIF(I8,$E$2+13,"y"))</f>
        <v>122</v>
      </c>
      <c r="J61" s="393">
        <f t="shared" si="8"/>
        <v>0</v>
      </c>
      <c r="K61" s="394">
        <f t="shared" si="9"/>
        <v>0</v>
      </c>
      <c r="L61" s="395">
        <f t="shared" si="10"/>
        <v>0</v>
      </c>
      <c r="M61" s="396">
        <f t="shared" si="11"/>
        <v>0</v>
      </c>
      <c r="N61" s="394">
        <f t="shared" si="12"/>
        <v>0</v>
      </c>
      <c r="O61" s="395">
        <f t="shared" si="13"/>
        <v>0</v>
      </c>
      <c r="P61" s="397">
        <f t="shared" si="14"/>
        <v>0</v>
      </c>
      <c r="Q61" s="394">
        <f t="shared" si="15"/>
        <v>0</v>
      </c>
      <c r="R61" s="395">
        <f t="shared" si="16"/>
        <v>0</v>
      </c>
      <c r="S61" s="398">
        <f t="shared" si="17"/>
        <v>0</v>
      </c>
      <c r="T61" s="370">
        <f t="shared" si="18"/>
        <v>0</v>
      </c>
      <c r="U61" s="394">
        <f t="shared" si="19"/>
        <v>0</v>
      </c>
      <c r="V61" s="400">
        <f t="shared" si="20"/>
        <v>0</v>
      </c>
      <c r="W61" s="394">
        <f t="shared" si="21"/>
        <v>0</v>
      </c>
      <c r="X61" s="395">
        <f t="shared" si="22"/>
        <v>0</v>
      </c>
      <c r="Y61" s="102">
        <f t="shared" si="23"/>
        <v>0</v>
      </c>
      <c r="Z61" s="339">
        <f t="shared" si="24"/>
        <v>0</v>
      </c>
      <c r="AA61" s="102">
        <f t="shared" si="25"/>
        <v>0</v>
      </c>
      <c r="AB61" s="339">
        <f t="shared" si="26"/>
        <v>0</v>
      </c>
      <c r="AC61" s="102">
        <f t="shared" si="27"/>
        <v>0</v>
      </c>
      <c r="AD61" s="339">
        <f t="shared" si="28"/>
        <v>0</v>
      </c>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row>
    <row r="62" spans="1:64" ht="18" hidden="1" customHeight="1">
      <c r="A62" s="358"/>
      <c r="B62" s="359"/>
      <c r="C62" s="369"/>
      <c r="D62" s="384"/>
      <c r="E62" s="324">
        <f>IF(E8&gt;$E$2+14,"",DATEDIF(E8,$E$2+14,"y"))</f>
        <v>122</v>
      </c>
      <c r="F62" s="324">
        <f>IF(F8&gt;$E$2+14,"",DATEDIF(F8,$E$2+14,"y"))</f>
        <v>122</v>
      </c>
      <c r="G62" s="324">
        <f>IF(G8&gt;$E$2+14,"",DATEDIF(G8,$E$2+14,"y"))</f>
        <v>122</v>
      </c>
      <c r="H62" s="324">
        <f>IF(H8&gt;$E$2+14,"",DATEDIF(H8,$E$2+14,"y"))</f>
        <v>122</v>
      </c>
      <c r="I62" s="325">
        <f>IF(I8&gt;$E$2+14,"",DATEDIF(I8,$E$2+14,"y"))</f>
        <v>122</v>
      </c>
      <c r="J62" s="393">
        <f t="shared" si="8"/>
        <v>0</v>
      </c>
      <c r="K62" s="394">
        <f t="shared" si="9"/>
        <v>0</v>
      </c>
      <c r="L62" s="395">
        <f t="shared" si="10"/>
        <v>0</v>
      </c>
      <c r="M62" s="396">
        <f t="shared" si="11"/>
        <v>0</v>
      </c>
      <c r="N62" s="394">
        <f t="shared" si="12"/>
        <v>0</v>
      </c>
      <c r="O62" s="395">
        <f t="shared" si="13"/>
        <v>0</v>
      </c>
      <c r="P62" s="397">
        <f t="shared" si="14"/>
        <v>0</v>
      </c>
      <c r="Q62" s="394">
        <f t="shared" si="15"/>
        <v>0</v>
      </c>
      <c r="R62" s="395">
        <f t="shared" si="16"/>
        <v>0</v>
      </c>
      <c r="S62" s="398">
        <f t="shared" si="17"/>
        <v>0</v>
      </c>
      <c r="T62" s="370">
        <f t="shared" si="18"/>
        <v>0</v>
      </c>
      <c r="U62" s="394">
        <f t="shared" si="19"/>
        <v>0</v>
      </c>
      <c r="V62" s="400">
        <f t="shared" si="20"/>
        <v>0</v>
      </c>
      <c r="W62" s="394">
        <f t="shared" si="21"/>
        <v>0</v>
      </c>
      <c r="X62" s="395">
        <f t="shared" si="22"/>
        <v>0</v>
      </c>
      <c r="Y62" s="102">
        <f t="shared" si="23"/>
        <v>0</v>
      </c>
      <c r="Z62" s="339">
        <f t="shared" si="24"/>
        <v>0</v>
      </c>
      <c r="AA62" s="102">
        <f t="shared" si="25"/>
        <v>0</v>
      </c>
      <c r="AB62" s="339">
        <f t="shared" si="26"/>
        <v>0</v>
      </c>
      <c r="AC62" s="102">
        <f t="shared" si="27"/>
        <v>0</v>
      </c>
      <c r="AD62" s="339">
        <f t="shared" si="28"/>
        <v>0</v>
      </c>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row>
    <row r="63" spans="1:64" ht="18" hidden="1" customHeight="1">
      <c r="A63" s="358"/>
      <c r="B63" s="359"/>
      <c r="C63" s="369"/>
      <c r="D63" s="384"/>
      <c r="E63" s="324">
        <f>IF(E8&gt;$E$2+15,"",DATEDIF(E8,$E$2+15,"y"))</f>
        <v>122</v>
      </c>
      <c r="F63" s="324">
        <f>IF(F8&gt;$E$2+15,"",DATEDIF(F8,$E$2+15,"y"))</f>
        <v>122</v>
      </c>
      <c r="G63" s="324">
        <f>IF(G8&gt;$E$2+15,"",DATEDIF(G8,$E$2+15,"y"))</f>
        <v>122</v>
      </c>
      <c r="H63" s="324">
        <f>IF(H8&gt;$E$2+15,"",DATEDIF(H8,$E$2+15,"y"))</f>
        <v>122</v>
      </c>
      <c r="I63" s="325">
        <f>IF(I8&gt;$E$2+15,"",DATEDIF(I8,$E$2+15,"y"))</f>
        <v>122</v>
      </c>
      <c r="J63" s="393">
        <f t="shared" si="8"/>
        <v>0</v>
      </c>
      <c r="K63" s="394">
        <f t="shared" si="9"/>
        <v>0</v>
      </c>
      <c r="L63" s="395">
        <f t="shared" si="10"/>
        <v>0</v>
      </c>
      <c r="M63" s="396">
        <f t="shared" si="11"/>
        <v>0</v>
      </c>
      <c r="N63" s="394">
        <f t="shared" si="12"/>
        <v>0</v>
      </c>
      <c r="O63" s="395">
        <f t="shared" si="13"/>
        <v>0</v>
      </c>
      <c r="P63" s="397">
        <f t="shared" si="14"/>
        <v>0</v>
      </c>
      <c r="Q63" s="394">
        <f t="shared" si="15"/>
        <v>0</v>
      </c>
      <c r="R63" s="395">
        <f t="shared" si="16"/>
        <v>0</v>
      </c>
      <c r="S63" s="398">
        <f t="shared" si="17"/>
        <v>0</v>
      </c>
      <c r="T63" s="370">
        <f t="shared" si="18"/>
        <v>0</v>
      </c>
      <c r="U63" s="394">
        <f t="shared" si="19"/>
        <v>0</v>
      </c>
      <c r="V63" s="400">
        <f t="shared" si="20"/>
        <v>0</v>
      </c>
      <c r="W63" s="394">
        <f t="shared" si="21"/>
        <v>0</v>
      </c>
      <c r="X63" s="395">
        <f t="shared" si="22"/>
        <v>0</v>
      </c>
      <c r="Y63" s="102">
        <f t="shared" si="23"/>
        <v>0</v>
      </c>
      <c r="Z63" s="339">
        <f t="shared" si="24"/>
        <v>0</v>
      </c>
      <c r="AA63" s="102">
        <f t="shared" si="25"/>
        <v>0</v>
      </c>
      <c r="AB63" s="339">
        <f t="shared" si="26"/>
        <v>0</v>
      </c>
      <c r="AC63" s="102">
        <f t="shared" si="27"/>
        <v>0</v>
      </c>
      <c r="AD63" s="339">
        <f t="shared" si="28"/>
        <v>0</v>
      </c>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row>
    <row r="64" spans="1:64" ht="18" hidden="1" customHeight="1">
      <c r="A64" s="358"/>
      <c r="B64" s="359"/>
      <c r="C64" s="369"/>
      <c r="D64" s="384"/>
      <c r="E64" s="324">
        <f>IF(E8&gt;$E$2+16,"",DATEDIF(E8,$E$2+16,"y"))</f>
        <v>122</v>
      </c>
      <c r="F64" s="324">
        <f>IF(F8&gt;$E$2+16,"",DATEDIF(F8,$E$2+16,"y"))</f>
        <v>122</v>
      </c>
      <c r="G64" s="324">
        <f>IF(G8&gt;$E$2+16,"",DATEDIF(G8,$E$2+16,"y"))</f>
        <v>122</v>
      </c>
      <c r="H64" s="324">
        <f>IF(H8&gt;$E$2+16,"",DATEDIF(H8,$E$2+16,"y"))</f>
        <v>122</v>
      </c>
      <c r="I64" s="325">
        <f>IF(I8&gt;$E$2+16,"",DATEDIF(I8,$E$2+16,"y"))</f>
        <v>122</v>
      </c>
      <c r="J64" s="393">
        <f t="shared" si="8"/>
        <v>0</v>
      </c>
      <c r="K64" s="394">
        <f t="shared" si="9"/>
        <v>0</v>
      </c>
      <c r="L64" s="395">
        <f t="shared" si="10"/>
        <v>0</v>
      </c>
      <c r="M64" s="396">
        <f t="shared" si="11"/>
        <v>0</v>
      </c>
      <c r="N64" s="394">
        <f t="shared" si="12"/>
        <v>0</v>
      </c>
      <c r="O64" s="395">
        <f t="shared" si="13"/>
        <v>0</v>
      </c>
      <c r="P64" s="397">
        <f t="shared" si="14"/>
        <v>0</v>
      </c>
      <c r="Q64" s="394">
        <f t="shared" si="15"/>
        <v>0</v>
      </c>
      <c r="R64" s="395">
        <f t="shared" si="16"/>
        <v>0</v>
      </c>
      <c r="S64" s="398">
        <f t="shared" si="17"/>
        <v>0</v>
      </c>
      <c r="T64" s="370">
        <f t="shared" si="18"/>
        <v>0</v>
      </c>
      <c r="U64" s="394">
        <f t="shared" si="19"/>
        <v>0</v>
      </c>
      <c r="V64" s="400">
        <f t="shared" si="20"/>
        <v>0</v>
      </c>
      <c r="W64" s="394">
        <f t="shared" si="21"/>
        <v>0</v>
      </c>
      <c r="X64" s="395">
        <f t="shared" si="22"/>
        <v>0</v>
      </c>
      <c r="Y64" s="102">
        <f t="shared" si="23"/>
        <v>0</v>
      </c>
      <c r="Z64" s="339">
        <f t="shared" si="24"/>
        <v>0</v>
      </c>
      <c r="AA64" s="102">
        <f t="shared" si="25"/>
        <v>0</v>
      </c>
      <c r="AB64" s="339">
        <f t="shared" si="26"/>
        <v>0</v>
      </c>
      <c r="AC64" s="102">
        <f t="shared" si="27"/>
        <v>0</v>
      </c>
      <c r="AD64" s="339">
        <f t="shared" si="28"/>
        <v>0</v>
      </c>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row>
    <row r="65" spans="1:64" ht="18" hidden="1" customHeight="1">
      <c r="A65" s="358"/>
      <c r="B65" s="359"/>
      <c r="C65" s="369"/>
      <c r="D65" s="384"/>
      <c r="E65" s="324">
        <f>IF(E8&gt;$E$2+17,"",DATEDIF(E8,$E$2+17,"y"))</f>
        <v>122</v>
      </c>
      <c r="F65" s="324">
        <f>IF(F8&gt;$E$2+17,"",DATEDIF(F8,$E$2+17,"y"))</f>
        <v>122</v>
      </c>
      <c r="G65" s="324">
        <f>IF(G8&gt;$E$2+17,"",DATEDIF(G8,$E$2+17,"y"))</f>
        <v>122</v>
      </c>
      <c r="H65" s="324">
        <f>IF(H8&gt;$E$2+17,"",DATEDIF(H8,$E$2+17,"y"))</f>
        <v>122</v>
      </c>
      <c r="I65" s="325">
        <f>IF(I8&gt;$E$2+17,"",DATEDIF(I8,$E$2+17,"y"))</f>
        <v>122</v>
      </c>
      <c r="J65" s="393">
        <f t="shared" si="8"/>
        <v>0</v>
      </c>
      <c r="K65" s="394">
        <f t="shared" si="9"/>
        <v>0</v>
      </c>
      <c r="L65" s="395">
        <f t="shared" si="10"/>
        <v>0</v>
      </c>
      <c r="M65" s="396">
        <f t="shared" si="11"/>
        <v>0</v>
      </c>
      <c r="N65" s="394">
        <f t="shared" si="12"/>
        <v>0</v>
      </c>
      <c r="O65" s="395">
        <f t="shared" si="13"/>
        <v>0</v>
      </c>
      <c r="P65" s="397">
        <f t="shared" si="14"/>
        <v>0</v>
      </c>
      <c r="Q65" s="394">
        <f t="shared" si="15"/>
        <v>0</v>
      </c>
      <c r="R65" s="395">
        <f t="shared" si="16"/>
        <v>0</v>
      </c>
      <c r="S65" s="398">
        <f t="shared" si="17"/>
        <v>0</v>
      </c>
      <c r="T65" s="370">
        <f t="shared" si="18"/>
        <v>0</v>
      </c>
      <c r="U65" s="394">
        <f t="shared" si="19"/>
        <v>0</v>
      </c>
      <c r="V65" s="400">
        <f t="shared" si="20"/>
        <v>0</v>
      </c>
      <c r="W65" s="394">
        <f t="shared" si="21"/>
        <v>0</v>
      </c>
      <c r="X65" s="395">
        <f t="shared" si="22"/>
        <v>0</v>
      </c>
      <c r="Y65" s="102">
        <f t="shared" si="23"/>
        <v>0</v>
      </c>
      <c r="Z65" s="339">
        <f t="shared" si="24"/>
        <v>0</v>
      </c>
      <c r="AA65" s="102">
        <f t="shared" si="25"/>
        <v>0</v>
      </c>
      <c r="AB65" s="339">
        <f t="shared" si="26"/>
        <v>0</v>
      </c>
      <c r="AC65" s="102">
        <f t="shared" si="27"/>
        <v>0</v>
      </c>
      <c r="AD65" s="339">
        <f t="shared" si="28"/>
        <v>0</v>
      </c>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row>
    <row r="66" spans="1:64" ht="18" hidden="1" customHeight="1">
      <c r="A66" s="358"/>
      <c r="B66" s="359"/>
      <c r="C66" s="369"/>
      <c r="D66" s="384"/>
      <c r="E66" s="324">
        <f>IF(E8&gt;$E$2+18,"",DATEDIF(E8,$E$2+18,"y"))</f>
        <v>122</v>
      </c>
      <c r="F66" s="324">
        <f>IF(F8&gt;$E$2+18,"",DATEDIF(F8,$E$2+18,"y"))</f>
        <v>122</v>
      </c>
      <c r="G66" s="324">
        <f>IF(G8&gt;$E$2+18,"",DATEDIF(G8,$E$2+18,"y"))</f>
        <v>122</v>
      </c>
      <c r="H66" s="324">
        <f>IF(H8&gt;$E$2+18,"",DATEDIF(H8,$E$2+18,"y"))</f>
        <v>122</v>
      </c>
      <c r="I66" s="325">
        <f>IF(I8&gt;$E$2+18,"",DATEDIF(I8,$E$2+18,"y"))</f>
        <v>122</v>
      </c>
      <c r="J66" s="393">
        <f t="shared" si="8"/>
        <v>0</v>
      </c>
      <c r="K66" s="394">
        <f t="shared" si="9"/>
        <v>0</v>
      </c>
      <c r="L66" s="395">
        <f t="shared" si="10"/>
        <v>0</v>
      </c>
      <c r="M66" s="396">
        <f t="shared" si="11"/>
        <v>0</v>
      </c>
      <c r="N66" s="394">
        <f t="shared" si="12"/>
        <v>0</v>
      </c>
      <c r="O66" s="395">
        <f t="shared" si="13"/>
        <v>0</v>
      </c>
      <c r="P66" s="397">
        <f t="shared" si="14"/>
        <v>0</v>
      </c>
      <c r="Q66" s="394">
        <f t="shared" si="15"/>
        <v>0</v>
      </c>
      <c r="R66" s="395">
        <f t="shared" si="16"/>
        <v>0</v>
      </c>
      <c r="S66" s="398">
        <f t="shared" si="17"/>
        <v>0</v>
      </c>
      <c r="T66" s="370">
        <f t="shared" si="18"/>
        <v>0</v>
      </c>
      <c r="U66" s="394">
        <f t="shared" si="19"/>
        <v>0</v>
      </c>
      <c r="V66" s="400">
        <f t="shared" si="20"/>
        <v>0</v>
      </c>
      <c r="W66" s="394">
        <f t="shared" si="21"/>
        <v>0</v>
      </c>
      <c r="X66" s="395">
        <f t="shared" si="22"/>
        <v>0</v>
      </c>
      <c r="Y66" s="102">
        <f t="shared" si="23"/>
        <v>0</v>
      </c>
      <c r="Z66" s="339">
        <f t="shared" si="24"/>
        <v>0</v>
      </c>
      <c r="AA66" s="102">
        <f t="shared" si="25"/>
        <v>0</v>
      </c>
      <c r="AB66" s="339">
        <f t="shared" si="26"/>
        <v>0</v>
      </c>
      <c r="AC66" s="102">
        <f t="shared" si="27"/>
        <v>0</v>
      </c>
      <c r="AD66" s="339">
        <f t="shared" si="28"/>
        <v>0</v>
      </c>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row>
    <row r="67" spans="1:64" ht="18" hidden="1" customHeight="1">
      <c r="A67" s="358"/>
      <c r="B67" s="359"/>
      <c r="C67" s="369"/>
      <c r="D67" s="384"/>
      <c r="E67" s="324">
        <f>IF(E8&gt;$E$2+19,"",DATEDIF(E8,$E$2+19,"y"))</f>
        <v>122</v>
      </c>
      <c r="F67" s="324">
        <f>IF(F8&gt;$E$2+19,"",DATEDIF(F8,$E$2+19,"y"))</f>
        <v>122</v>
      </c>
      <c r="G67" s="324">
        <f>IF(G8&gt;$E$2+19,"",DATEDIF(G8,$E$2+19,"y"))</f>
        <v>122</v>
      </c>
      <c r="H67" s="324">
        <f>IF(H8&gt;$E$2+19,"",DATEDIF(H8,$E$2+19,"y"))</f>
        <v>122</v>
      </c>
      <c r="I67" s="325">
        <f>IF(I8&gt;$E$2+19,"",DATEDIF(I8,$E$2+19,"y"))</f>
        <v>122</v>
      </c>
      <c r="J67" s="393">
        <f t="shared" si="8"/>
        <v>0</v>
      </c>
      <c r="K67" s="394">
        <f t="shared" si="9"/>
        <v>0</v>
      </c>
      <c r="L67" s="395">
        <f t="shared" si="10"/>
        <v>0</v>
      </c>
      <c r="M67" s="396">
        <f t="shared" si="11"/>
        <v>0</v>
      </c>
      <c r="N67" s="394">
        <f t="shared" si="12"/>
        <v>0</v>
      </c>
      <c r="O67" s="395">
        <f t="shared" si="13"/>
        <v>0</v>
      </c>
      <c r="P67" s="397">
        <f t="shared" si="14"/>
        <v>0</v>
      </c>
      <c r="Q67" s="394">
        <f t="shared" si="15"/>
        <v>0</v>
      </c>
      <c r="R67" s="395">
        <f t="shared" si="16"/>
        <v>0</v>
      </c>
      <c r="S67" s="398">
        <f t="shared" si="17"/>
        <v>0</v>
      </c>
      <c r="T67" s="370">
        <f t="shared" si="18"/>
        <v>0</v>
      </c>
      <c r="U67" s="394">
        <f t="shared" si="19"/>
        <v>0</v>
      </c>
      <c r="V67" s="400">
        <f t="shared" si="20"/>
        <v>0</v>
      </c>
      <c r="W67" s="394">
        <f t="shared" si="21"/>
        <v>0</v>
      </c>
      <c r="X67" s="395">
        <f t="shared" si="22"/>
        <v>0</v>
      </c>
      <c r="Y67" s="102">
        <f t="shared" si="23"/>
        <v>0</v>
      </c>
      <c r="Z67" s="339">
        <f t="shared" si="24"/>
        <v>0</v>
      </c>
      <c r="AA67" s="102">
        <f t="shared" si="25"/>
        <v>0</v>
      </c>
      <c r="AB67" s="339">
        <f t="shared" si="26"/>
        <v>0</v>
      </c>
      <c r="AC67" s="102">
        <f t="shared" si="27"/>
        <v>0</v>
      </c>
      <c r="AD67" s="339">
        <f t="shared" si="28"/>
        <v>0</v>
      </c>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row>
    <row r="68" spans="1:64" ht="18" hidden="1" customHeight="1">
      <c r="A68" s="358"/>
      <c r="B68" s="359"/>
      <c r="C68" s="369"/>
      <c r="D68" s="384"/>
      <c r="E68" s="324">
        <f>IF(E8&gt;$E$2+20,"",DATEDIF(E8,$E$2+20,"y"))</f>
        <v>122</v>
      </c>
      <c r="F68" s="324">
        <f>IF(F8&gt;$E$2+20,"",DATEDIF(F8,$E$2+20,"y"))</f>
        <v>122</v>
      </c>
      <c r="G68" s="324">
        <f>IF(G8&gt;$E$2+20,"",DATEDIF(G8,$E$2+20,"y"))</f>
        <v>122</v>
      </c>
      <c r="H68" s="324">
        <f>IF(H8&gt;$E$2+20,"",DATEDIF(H8,$E$2+20,"y"))</f>
        <v>122</v>
      </c>
      <c r="I68" s="325">
        <f>IF(I8&gt;$E$2+20,"",DATEDIF(I8,$E$2+20,"y"))</f>
        <v>122</v>
      </c>
      <c r="J68" s="393">
        <f t="shared" si="8"/>
        <v>0</v>
      </c>
      <c r="K68" s="394">
        <f t="shared" si="9"/>
        <v>0</v>
      </c>
      <c r="L68" s="395">
        <f t="shared" si="10"/>
        <v>0</v>
      </c>
      <c r="M68" s="396">
        <f t="shared" si="11"/>
        <v>0</v>
      </c>
      <c r="N68" s="394">
        <f t="shared" si="12"/>
        <v>0</v>
      </c>
      <c r="O68" s="395">
        <f t="shared" si="13"/>
        <v>0</v>
      </c>
      <c r="P68" s="397">
        <f t="shared" si="14"/>
        <v>0</v>
      </c>
      <c r="Q68" s="394">
        <f t="shared" si="15"/>
        <v>0</v>
      </c>
      <c r="R68" s="395">
        <f t="shared" si="16"/>
        <v>0</v>
      </c>
      <c r="S68" s="398">
        <f t="shared" si="17"/>
        <v>0</v>
      </c>
      <c r="T68" s="370">
        <f t="shared" si="18"/>
        <v>0</v>
      </c>
      <c r="U68" s="394">
        <f t="shared" si="19"/>
        <v>0</v>
      </c>
      <c r="V68" s="400">
        <f t="shared" si="20"/>
        <v>0</v>
      </c>
      <c r="W68" s="394">
        <f t="shared" si="21"/>
        <v>0</v>
      </c>
      <c r="X68" s="395">
        <f t="shared" si="22"/>
        <v>0</v>
      </c>
      <c r="Y68" s="102">
        <f t="shared" si="23"/>
        <v>0</v>
      </c>
      <c r="Z68" s="339">
        <f t="shared" si="24"/>
        <v>0</v>
      </c>
      <c r="AA68" s="102">
        <f t="shared" si="25"/>
        <v>0</v>
      </c>
      <c r="AB68" s="339">
        <f t="shared" si="26"/>
        <v>0</v>
      </c>
      <c r="AC68" s="102">
        <f t="shared" si="27"/>
        <v>0</v>
      </c>
      <c r="AD68" s="339">
        <f t="shared" si="28"/>
        <v>0</v>
      </c>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row>
    <row r="69" spans="1:64" ht="18" hidden="1" customHeight="1">
      <c r="A69" s="358"/>
      <c r="B69" s="359"/>
      <c r="C69" s="369"/>
      <c r="D69" s="384"/>
      <c r="E69" s="324">
        <f>IF(E8&gt;$E$2+21,"",DATEDIF(E8,$E$2+21,"y"))</f>
        <v>122</v>
      </c>
      <c r="F69" s="324">
        <f>IF(F8&gt;$E$2+21,"",DATEDIF(F8,$E$2+21,"y"))</f>
        <v>122</v>
      </c>
      <c r="G69" s="324">
        <f>IF(G8&gt;$E$2+21,"",DATEDIF(G8,$E$2+21,"y"))</f>
        <v>122</v>
      </c>
      <c r="H69" s="324">
        <f>IF(H8&gt;$E$2+21,"",DATEDIF(H8,$E$2+21,"y"))</f>
        <v>122</v>
      </c>
      <c r="I69" s="325">
        <f>IF(I8&gt;$E$2+21,"",DATEDIF(I8,$E$2+21,"y"))</f>
        <v>122</v>
      </c>
      <c r="J69" s="393">
        <f t="shared" si="8"/>
        <v>0</v>
      </c>
      <c r="K69" s="394">
        <f t="shared" si="9"/>
        <v>0</v>
      </c>
      <c r="L69" s="395">
        <f t="shared" si="10"/>
        <v>0</v>
      </c>
      <c r="M69" s="396">
        <f t="shared" si="11"/>
        <v>0</v>
      </c>
      <c r="N69" s="394">
        <f t="shared" si="12"/>
        <v>0</v>
      </c>
      <c r="O69" s="395">
        <f t="shared" si="13"/>
        <v>0</v>
      </c>
      <c r="P69" s="397">
        <f t="shared" si="14"/>
        <v>0</v>
      </c>
      <c r="Q69" s="394">
        <f t="shared" si="15"/>
        <v>0</v>
      </c>
      <c r="R69" s="395">
        <f t="shared" si="16"/>
        <v>0</v>
      </c>
      <c r="S69" s="398">
        <f t="shared" si="17"/>
        <v>0</v>
      </c>
      <c r="T69" s="370">
        <f t="shared" si="18"/>
        <v>0</v>
      </c>
      <c r="U69" s="394">
        <f t="shared" si="19"/>
        <v>0</v>
      </c>
      <c r="V69" s="400">
        <f t="shared" si="20"/>
        <v>0</v>
      </c>
      <c r="W69" s="394">
        <f t="shared" si="21"/>
        <v>0</v>
      </c>
      <c r="X69" s="395">
        <f t="shared" si="22"/>
        <v>0</v>
      </c>
      <c r="Y69" s="102">
        <f t="shared" si="23"/>
        <v>0</v>
      </c>
      <c r="Z69" s="339">
        <f t="shared" si="24"/>
        <v>0</v>
      </c>
      <c r="AA69" s="102">
        <f t="shared" si="25"/>
        <v>0</v>
      </c>
      <c r="AB69" s="339">
        <f t="shared" si="26"/>
        <v>0</v>
      </c>
      <c r="AC69" s="102">
        <f t="shared" si="27"/>
        <v>0</v>
      </c>
      <c r="AD69" s="339">
        <f t="shared" si="28"/>
        <v>0</v>
      </c>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row>
    <row r="70" spans="1:64" ht="18" hidden="1" customHeight="1">
      <c r="A70" s="358"/>
      <c r="B70" s="359"/>
      <c r="C70" s="369"/>
      <c r="D70" s="384"/>
      <c r="E70" s="324">
        <f>IF(E8&gt;$E$2+22,"",DATEDIF(E8,$E$2+22,"y"))</f>
        <v>122</v>
      </c>
      <c r="F70" s="324">
        <f>IF(F8&gt;$E$2+22,"",DATEDIF(F8,$E$2+22,"y"))</f>
        <v>122</v>
      </c>
      <c r="G70" s="324">
        <f>IF(G8&gt;$E$2+22,"",DATEDIF(G8,$E$2+22,"y"))</f>
        <v>122</v>
      </c>
      <c r="H70" s="324">
        <f>IF(H8&gt;$E$2+22,"",DATEDIF(H8,$E$2+22,"y"))</f>
        <v>122</v>
      </c>
      <c r="I70" s="325">
        <f>IF(I8&gt;$E$2+22,"",DATEDIF(I8,$E$2+22,"y"))</f>
        <v>122</v>
      </c>
      <c r="J70" s="393">
        <f t="shared" si="8"/>
        <v>0</v>
      </c>
      <c r="K70" s="394">
        <f t="shared" si="9"/>
        <v>0</v>
      </c>
      <c r="L70" s="395">
        <f t="shared" si="10"/>
        <v>0</v>
      </c>
      <c r="M70" s="396">
        <f t="shared" si="11"/>
        <v>0</v>
      </c>
      <c r="N70" s="394">
        <f t="shared" si="12"/>
        <v>0</v>
      </c>
      <c r="O70" s="395">
        <f t="shared" si="13"/>
        <v>0</v>
      </c>
      <c r="P70" s="397">
        <f t="shared" si="14"/>
        <v>0</v>
      </c>
      <c r="Q70" s="394">
        <f t="shared" si="15"/>
        <v>0</v>
      </c>
      <c r="R70" s="395">
        <f t="shared" si="16"/>
        <v>0</v>
      </c>
      <c r="S70" s="398">
        <f t="shared" si="17"/>
        <v>0</v>
      </c>
      <c r="T70" s="370">
        <f t="shared" si="18"/>
        <v>0</v>
      </c>
      <c r="U70" s="394">
        <f t="shared" si="19"/>
        <v>0</v>
      </c>
      <c r="V70" s="400">
        <f t="shared" si="20"/>
        <v>0</v>
      </c>
      <c r="W70" s="394">
        <f t="shared" si="21"/>
        <v>0</v>
      </c>
      <c r="X70" s="395">
        <f t="shared" si="22"/>
        <v>0</v>
      </c>
      <c r="Y70" s="102">
        <f t="shared" si="23"/>
        <v>0</v>
      </c>
      <c r="Z70" s="339">
        <f t="shared" si="24"/>
        <v>0</v>
      </c>
      <c r="AA70" s="102">
        <f t="shared" si="25"/>
        <v>0</v>
      </c>
      <c r="AB70" s="339">
        <f t="shared" si="26"/>
        <v>0</v>
      </c>
      <c r="AC70" s="102">
        <f t="shared" si="27"/>
        <v>0</v>
      </c>
      <c r="AD70" s="339">
        <f t="shared" si="28"/>
        <v>0</v>
      </c>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row>
    <row r="71" spans="1:64" ht="18" hidden="1" customHeight="1">
      <c r="A71" s="358"/>
      <c r="B71" s="359"/>
      <c r="C71" s="369"/>
      <c r="D71" s="384"/>
      <c r="E71" s="324">
        <f>IF(E8&gt;$E$2+23,"",DATEDIF(E8,$E$2+23,"y"))</f>
        <v>122</v>
      </c>
      <c r="F71" s="324">
        <f>IF(F8&gt;$E$2+23,"",DATEDIF(F8,$E$2+23,"y"))</f>
        <v>122</v>
      </c>
      <c r="G71" s="324">
        <f>IF(G8&gt;$E$2+23,"",DATEDIF(G8,$E$2+23,"y"))</f>
        <v>122</v>
      </c>
      <c r="H71" s="324">
        <f>IF(H8&gt;$E$2+23,"",DATEDIF(H8,$E$2+23,"y"))</f>
        <v>122</v>
      </c>
      <c r="I71" s="325">
        <f>IF(I8&gt;$E$2+23,"",DATEDIF(I8,$E$2+23,"y"))</f>
        <v>122</v>
      </c>
      <c r="J71" s="393">
        <f t="shared" si="8"/>
        <v>0</v>
      </c>
      <c r="K71" s="394">
        <f t="shared" si="9"/>
        <v>0</v>
      </c>
      <c r="L71" s="395">
        <f t="shared" si="10"/>
        <v>0</v>
      </c>
      <c r="M71" s="396">
        <f t="shared" si="11"/>
        <v>0</v>
      </c>
      <c r="N71" s="394">
        <f t="shared" si="12"/>
        <v>0</v>
      </c>
      <c r="O71" s="395">
        <f t="shared" si="13"/>
        <v>0</v>
      </c>
      <c r="P71" s="397">
        <f t="shared" si="14"/>
        <v>0</v>
      </c>
      <c r="Q71" s="394">
        <f t="shared" si="15"/>
        <v>0</v>
      </c>
      <c r="R71" s="395">
        <f t="shared" si="16"/>
        <v>0</v>
      </c>
      <c r="S71" s="398">
        <f t="shared" si="17"/>
        <v>0</v>
      </c>
      <c r="T71" s="370">
        <f t="shared" si="18"/>
        <v>0</v>
      </c>
      <c r="U71" s="394">
        <f t="shared" si="19"/>
        <v>0</v>
      </c>
      <c r="V71" s="400">
        <f t="shared" si="20"/>
        <v>0</v>
      </c>
      <c r="W71" s="394">
        <f t="shared" si="21"/>
        <v>0</v>
      </c>
      <c r="X71" s="395">
        <f t="shared" si="22"/>
        <v>0</v>
      </c>
      <c r="Y71" s="102">
        <f t="shared" si="23"/>
        <v>0</v>
      </c>
      <c r="Z71" s="339">
        <f t="shared" si="24"/>
        <v>0</v>
      </c>
      <c r="AA71" s="102">
        <f t="shared" si="25"/>
        <v>0</v>
      </c>
      <c r="AB71" s="339">
        <f t="shared" si="26"/>
        <v>0</v>
      </c>
      <c r="AC71" s="102">
        <f t="shared" si="27"/>
        <v>0</v>
      </c>
      <c r="AD71" s="339">
        <f t="shared" si="28"/>
        <v>0</v>
      </c>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row>
    <row r="72" spans="1:64" ht="18" hidden="1" customHeight="1">
      <c r="A72" s="358"/>
      <c r="B72" s="359"/>
      <c r="C72" s="369"/>
      <c r="D72" s="384"/>
      <c r="E72" s="324">
        <f>IF(E8&gt;$E$2+24,"",DATEDIF(E8,$E$2+24,"y"))</f>
        <v>122</v>
      </c>
      <c r="F72" s="324">
        <f>IF(F8&gt;$E$2+24,"",DATEDIF(F8,$E$2+24,"y"))</f>
        <v>122</v>
      </c>
      <c r="G72" s="324">
        <f>IF(G8&gt;$E$2+24,"",DATEDIF(G8,$E$2+24,"y"))</f>
        <v>122</v>
      </c>
      <c r="H72" s="324">
        <f>IF(H8&gt;$E$2+24,"",DATEDIF(H8,$E$2+24,"y"))</f>
        <v>122</v>
      </c>
      <c r="I72" s="325">
        <f>IF(I8&gt;$E$2+24,"",DATEDIF(I8,$E$2+24,"y"))</f>
        <v>122</v>
      </c>
      <c r="J72" s="393">
        <f t="shared" si="8"/>
        <v>0</v>
      </c>
      <c r="K72" s="394">
        <f t="shared" si="9"/>
        <v>0</v>
      </c>
      <c r="L72" s="395">
        <f t="shared" si="10"/>
        <v>0</v>
      </c>
      <c r="M72" s="396">
        <f t="shared" si="11"/>
        <v>0</v>
      </c>
      <c r="N72" s="394">
        <f t="shared" si="12"/>
        <v>0</v>
      </c>
      <c r="O72" s="395">
        <f t="shared" si="13"/>
        <v>0</v>
      </c>
      <c r="P72" s="397">
        <f t="shared" si="14"/>
        <v>0</v>
      </c>
      <c r="Q72" s="394">
        <f t="shared" si="15"/>
        <v>0</v>
      </c>
      <c r="R72" s="395">
        <f t="shared" si="16"/>
        <v>0</v>
      </c>
      <c r="S72" s="398">
        <f t="shared" si="17"/>
        <v>0</v>
      </c>
      <c r="T72" s="370">
        <f t="shared" si="18"/>
        <v>0</v>
      </c>
      <c r="U72" s="394">
        <f t="shared" si="19"/>
        <v>0</v>
      </c>
      <c r="V72" s="400">
        <f t="shared" si="20"/>
        <v>0</v>
      </c>
      <c r="W72" s="394">
        <f t="shared" si="21"/>
        <v>0</v>
      </c>
      <c r="X72" s="395">
        <f t="shared" si="22"/>
        <v>0</v>
      </c>
      <c r="Y72" s="102">
        <f t="shared" si="23"/>
        <v>0</v>
      </c>
      <c r="Z72" s="339">
        <f t="shared" si="24"/>
        <v>0</v>
      </c>
      <c r="AA72" s="102">
        <f t="shared" si="25"/>
        <v>0</v>
      </c>
      <c r="AB72" s="339">
        <f t="shared" si="26"/>
        <v>0</v>
      </c>
      <c r="AC72" s="102">
        <f t="shared" si="27"/>
        <v>0</v>
      </c>
      <c r="AD72" s="339">
        <f t="shared" si="28"/>
        <v>0</v>
      </c>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row>
    <row r="73" spans="1:64" ht="18" hidden="1" customHeight="1">
      <c r="A73" s="358"/>
      <c r="B73" s="359"/>
      <c r="C73" s="369"/>
      <c r="D73" s="384"/>
      <c r="E73" s="324">
        <f>IF(E8&gt;$E$2+25,"",DATEDIF(E8,$E$2+25,"y"))</f>
        <v>122</v>
      </c>
      <c r="F73" s="324">
        <f>IF(F8&gt;$E$2+25,"",DATEDIF(F8,$E$2+25,"y"))</f>
        <v>122</v>
      </c>
      <c r="G73" s="324">
        <f>IF(G8&gt;$E$2+25,"",DATEDIF(G8,$E$2+25,"y"))</f>
        <v>122</v>
      </c>
      <c r="H73" s="324">
        <f>IF(H8&gt;$E$2+25,"",DATEDIF(H8,$E$2+25,"y"))</f>
        <v>122</v>
      </c>
      <c r="I73" s="325">
        <f>IF(I8&gt;$E$2+25,"",DATEDIF(I8,$E$2+25,"y"))</f>
        <v>122</v>
      </c>
      <c r="J73" s="393">
        <f t="shared" si="8"/>
        <v>0</v>
      </c>
      <c r="K73" s="394">
        <f t="shared" si="9"/>
        <v>0</v>
      </c>
      <c r="L73" s="395">
        <f t="shared" si="10"/>
        <v>0</v>
      </c>
      <c r="M73" s="396">
        <f t="shared" si="11"/>
        <v>0</v>
      </c>
      <c r="N73" s="394">
        <f t="shared" si="12"/>
        <v>0</v>
      </c>
      <c r="O73" s="395">
        <f t="shared" si="13"/>
        <v>0</v>
      </c>
      <c r="P73" s="397">
        <f t="shared" si="14"/>
        <v>0</v>
      </c>
      <c r="Q73" s="394">
        <f t="shared" si="15"/>
        <v>0</v>
      </c>
      <c r="R73" s="395">
        <f t="shared" si="16"/>
        <v>0</v>
      </c>
      <c r="S73" s="398">
        <f t="shared" si="17"/>
        <v>0</v>
      </c>
      <c r="T73" s="370">
        <f t="shared" si="18"/>
        <v>0</v>
      </c>
      <c r="U73" s="394">
        <f t="shared" si="19"/>
        <v>0</v>
      </c>
      <c r="V73" s="400">
        <f t="shared" si="20"/>
        <v>0</v>
      </c>
      <c r="W73" s="394">
        <f t="shared" si="21"/>
        <v>0</v>
      </c>
      <c r="X73" s="395">
        <f t="shared" si="22"/>
        <v>0</v>
      </c>
      <c r="Y73" s="102">
        <f t="shared" si="23"/>
        <v>0</v>
      </c>
      <c r="Z73" s="339">
        <f t="shared" si="24"/>
        <v>0</v>
      </c>
      <c r="AA73" s="102">
        <f t="shared" si="25"/>
        <v>0</v>
      </c>
      <c r="AB73" s="339">
        <f t="shared" si="26"/>
        <v>0</v>
      </c>
      <c r="AC73" s="102">
        <f t="shared" si="27"/>
        <v>0</v>
      </c>
      <c r="AD73" s="339">
        <f t="shared" si="28"/>
        <v>0</v>
      </c>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row>
    <row r="74" spans="1:64" ht="18" hidden="1" customHeight="1">
      <c r="A74" s="358"/>
      <c r="B74" s="359"/>
      <c r="C74" s="369"/>
      <c r="D74" s="384"/>
      <c r="E74" s="324">
        <f>IF(E8&gt;$E$2+26,"",DATEDIF(E8,$E$2+26,"y"))</f>
        <v>122</v>
      </c>
      <c r="F74" s="324">
        <f>IF(F8&gt;$E$2+26,"",DATEDIF(F8,$E$2+26,"y"))</f>
        <v>122</v>
      </c>
      <c r="G74" s="324">
        <f>IF(G8&gt;$E$2+26,"",DATEDIF(G8,$E$2+26,"y"))</f>
        <v>122</v>
      </c>
      <c r="H74" s="324">
        <f>IF(H8&gt;$E$2+26,"",DATEDIF(H8,$E$2+26,"y"))</f>
        <v>122</v>
      </c>
      <c r="I74" s="325">
        <f>IF(I8&gt;$E$2+26,"",DATEDIF(I8,$E$2+26,"y"))</f>
        <v>122</v>
      </c>
      <c r="J74" s="393">
        <f t="shared" si="8"/>
        <v>0</v>
      </c>
      <c r="K74" s="394">
        <f t="shared" si="9"/>
        <v>0</v>
      </c>
      <c r="L74" s="395">
        <f t="shared" si="10"/>
        <v>0</v>
      </c>
      <c r="M74" s="396">
        <f t="shared" si="11"/>
        <v>0</v>
      </c>
      <c r="N74" s="394">
        <f t="shared" si="12"/>
        <v>0</v>
      </c>
      <c r="O74" s="395">
        <f t="shared" si="13"/>
        <v>0</v>
      </c>
      <c r="P74" s="397">
        <f t="shared" si="14"/>
        <v>0</v>
      </c>
      <c r="Q74" s="394">
        <f t="shared" si="15"/>
        <v>0</v>
      </c>
      <c r="R74" s="395">
        <f t="shared" si="16"/>
        <v>0</v>
      </c>
      <c r="S74" s="398">
        <f t="shared" si="17"/>
        <v>0</v>
      </c>
      <c r="T74" s="370">
        <f t="shared" si="18"/>
        <v>0</v>
      </c>
      <c r="U74" s="394">
        <f t="shared" si="19"/>
        <v>0</v>
      </c>
      <c r="V74" s="400">
        <f t="shared" si="20"/>
        <v>0</v>
      </c>
      <c r="W74" s="394">
        <f t="shared" si="21"/>
        <v>0</v>
      </c>
      <c r="X74" s="395">
        <f t="shared" si="22"/>
        <v>0</v>
      </c>
      <c r="Y74" s="102">
        <f t="shared" si="23"/>
        <v>0</v>
      </c>
      <c r="Z74" s="339">
        <f t="shared" si="24"/>
        <v>0</v>
      </c>
      <c r="AA74" s="102">
        <f t="shared" si="25"/>
        <v>0</v>
      </c>
      <c r="AB74" s="339">
        <f t="shared" si="26"/>
        <v>0</v>
      </c>
      <c r="AC74" s="102">
        <f t="shared" si="27"/>
        <v>0</v>
      </c>
      <c r="AD74" s="339">
        <f t="shared" si="28"/>
        <v>0</v>
      </c>
      <c r="AF74" s="287"/>
      <c r="AG74" s="287"/>
      <c r="AH74" s="287"/>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row>
    <row r="75" spans="1:64" ht="18" hidden="1" customHeight="1">
      <c r="A75" s="358"/>
      <c r="B75" s="359"/>
      <c r="C75" s="369"/>
      <c r="D75" s="384"/>
      <c r="E75" s="324">
        <f>IF(E8&gt;$E$2+27,"",DATEDIF(E8,$E$2+27,"y"))</f>
        <v>122</v>
      </c>
      <c r="F75" s="324">
        <f>IF(F8&gt;$E$2+27,"",DATEDIF(F8,$E$2+27,"y"))</f>
        <v>122</v>
      </c>
      <c r="G75" s="324">
        <f>IF(G8&gt;$E$2+27,"",DATEDIF(G8,$E$2+27,"y"))</f>
        <v>122</v>
      </c>
      <c r="H75" s="324">
        <f>IF(H8&gt;$E$2+27,"",DATEDIF(H8,$E$2+27,"y"))</f>
        <v>122</v>
      </c>
      <c r="I75" s="325">
        <f>IF(I8&gt;$E$2+27,"",DATEDIF(I8,$E$2+27,"y"))</f>
        <v>122</v>
      </c>
      <c r="J75" s="393">
        <f t="shared" si="8"/>
        <v>0</v>
      </c>
      <c r="K75" s="394">
        <f t="shared" si="9"/>
        <v>0</v>
      </c>
      <c r="L75" s="395">
        <f t="shared" si="10"/>
        <v>0</v>
      </c>
      <c r="M75" s="396">
        <f t="shared" si="11"/>
        <v>0</v>
      </c>
      <c r="N75" s="394">
        <f t="shared" si="12"/>
        <v>0</v>
      </c>
      <c r="O75" s="395">
        <f t="shared" si="13"/>
        <v>0</v>
      </c>
      <c r="P75" s="397">
        <f t="shared" si="14"/>
        <v>0</v>
      </c>
      <c r="Q75" s="394">
        <f t="shared" si="15"/>
        <v>0</v>
      </c>
      <c r="R75" s="395">
        <f t="shared" si="16"/>
        <v>0</v>
      </c>
      <c r="S75" s="398">
        <f t="shared" si="17"/>
        <v>0</v>
      </c>
      <c r="T75" s="370">
        <f t="shared" si="18"/>
        <v>0</v>
      </c>
      <c r="U75" s="394">
        <f t="shared" si="19"/>
        <v>0</v>
      </c>
      <c r="V75" s="400">
        <f t="shared" si="20"/>
        <v>0</v>
      </c>
      <c r="W75" s="394">
        <f t="shared" si="21"/>
        <v>0</v>
      </c>
      <c r="X75" s="395">
        <f t="shared" si="22"/>
        <v>0</v>
      </c>
      <c r="Y75" s="102">
        <f t="shared" si="23"/>
        <v>0</v>
      </c>
      <c r="Z75" s="339">
        <f t="shared" si="24"/>
        <v>0</v>
      </c>
      <c r="AA75" s="102">
        <f t="shared" si="25"/>
        <v>0</v>
      </c>
      <c r="AB75" s="339">
        <f t="shared" si="26"/>
        <v>0</v>
      </c>
      <c r="AC75" s="102">
        <f t="shared" si="27"/>
        <v>0</v>
      </c>
      <c r="AD75" s="339">
        <f t="shared" si="28"/>
        <v>0</v>
      </c>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row>
    <row r="76" spans="1:64" ht="18" hidden="1" customHeight="1">
      <c r="A76" s="358"/>
      <c r="B76" s="359"/>
      <c r="C76" s="369"/>
      <c r="D76" s="384"/>
      <c r="E76" s="324">
        <f>IF(E8&gt;$E$2+28,"",DATEDIF(E8,$E$2+28,"y"))</f>
        <v>122</v>
      </c>
      <c r="F76" s="324">
        <f>IF(F8&gt;$E$2+28,"",DATEDIF(F8,$E$2+28,"y"))</f>
        <v>122</v>
      </c>
      <c r="G76" s="324">
        <f>IF(G8&gt;$E$2+28,"",DATEDIF(G8,$E$2+28,"y"))</f>
        <v>122</v>
      </c>
      <c r="H76" s="324">
        <f>IF(H8&gt;$E$2+28,"",DATEDIF(H8,$E$2+28,"y"))</f>
        <v>122</v>
      </c>
      <c r="I76" s="325">
        <f>IF(I8&gt;$E$2+28,"",DATEDIF(I8,$E$2+28,"y"))</f>
        <v>122</v>
      </c>
      <c r="J76" s="393">
        <f>IF(AND(I2="Februar",G2&lt;29),"",COUNTIF(E76:I76,"&lt;7"))</f>
        <v>0</v>
      </c>
      <c r="K76" s="394">
        <f t="shared" si="9"/>
        <v>0</v>
      </c>
      <c r="L76" s="395">
        <f t="shared" si="10"/>
        <v>0</v>
      </c>
      <c r="M76" s="396">
        <f>IF(AND(I2="Februar",G2&lt;29),"",SUMPRODUCT((E76:I76&gt;6)*(E76:I76&lt;18)))</f>
        <v>0</v>
      </c>
      <c r="N76" s="394">
        <f t="shared" si="12"/>
        <v>0</v>
      </c>
      <c r="O76" s="395">
        <f t="shared" si="13"/>
        <v>0</v>
      </c>
      <c r="P76" s="397">
        <f>IF(AND(I2="Februar",G2&lt;29),"",COUNTIF(E76:I76,"&lt;16"))</f>
        <v>0</v>
      </c>
      <c r="Q76" s="394">
        <f t="shared" si="15"/>
        <v>0</v>
      </c>
      <c r="R76" s="395">
        <f t="shared" si="16"/>
        <v>0</v>
      </c>
      <c r="S76" s="398">
        <f>IF(AND(I2="Februar",G2&lt;29),"",SUMPRODUCT((E76:I76&gt;15)*(E76:I76&lt;18)))</f>
        <v>0</v>
      </c>
      <c r="T76" s="370">
        <f t="shared" si="18"/>
        <v>0</v>
      </c>
      <c r="U76" s="394">
        <f t="shared" si="19"/>
        <v>0</v>
      </c>
      <c r="V76" s="400">
        <f>IF(AND(I2="Februar",G2&lt;29),"",SUMPRODUCT((E76:I76&gt;6)*(E76:I76&lt;16))+SUMPRODUCT((E76:I76&gt;15)*(E76:I76&lt;18)))</f>
        <v>0</v>
      </c>
      <c r="W76" s="394">
        <f t="shared" si="21"/>
        <v>0</v>
      </c>
      <c r="X76" s="395">
        <f t="shared" si="22"/>
        <v>0</v>
      </c>
      <c r="Y76" s="102">
        <f>IF(AND(I2="Februar",G2&lt;29),"",COUNTIF(E76:I76,"&lt;18"))</f>
        <v>0</v>
      </c>
      <c r="Z76" s="339">
        <f t="shared" si="24"/>
        <v>0</v>
      </c>
      <c r="AA76" s="102">
        <f>IF(AND(I2="Februar",G2&lt;29),"",COUNTIF(E76:I76,"&lt;18"))</f>
        <v>0</v>
      </c>
      <c r="AB76" s="339">
        <f t="shared" si="26"/>
        <v>0</v>
      </c>
      <c r="AC76" s="102">
        <f>IF(AND(I2="Februar",G2&lt;29),"",COUNTIF(E76:I76,"&lt;18"))</f>
        <v>0</v>
      </c>
      <c r="AD76" s="339">
        <f t="shared" si="28"/>
        <v>0</v>
      </c>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row>
    <row r="77" spans="1:64" ht="18" hidden="1" customHeight="1">
      <c r="A77" s="358"/>
      <c r="B77" s="359"/>
      <c r="C77" s="369"/>
      <c r="D77" s="384"/>
      <c r="E77" s="324">
        <f>IF(E8&gt;$E$2+29,"",DATEDIF(E8,$E$2+29,"y"))</f>
        <v>122</v>
      </c>
      <c r="F77" s="324">
        <f>IF(F8&gt;$E$2+29,"",DATEDIF(F8,$E$2+29,"y"))</f>
        <v>122</v>
      </c>
      <c r="G77" s="324">
        <f>IF(G8&gt;$E$2+29,"",DATEDIF(G8,$E$2+29,"y"))</f>
        <v>122</v>
      </c>
      <c r="H77" s="324">
        <f>IF(H8&gt;$E$2+29,"",DATEDIF(H8,$E$2+29,"y"))</f>
        <v>122</v>
      </c>
      <c r="I77" s="325">
        <f>IF(I8&gt;$E$2+29,"",DATEDIF(I8,$E$2+29,"y"))</f>
        <v>122</v>
      </c>
      <c r="J77" s="393">
        <f>IF(I2="Februar","",COUNTIF(E77:I77,"&lt;7"))</f>
        <v>0</v>
      </c>
      <c r="K77" s="394">
        <f t="shared" si="9"/>
        <v>0</v>
      </c>
      <c r="L77" s="395">
        <f t="shared" si="10"/>
        <v>0</v>
      </c>
      <c r="M77" s="396">
        <f>IF(I2="Februar","",SUMPRODUCT((E77:I77&gt;6)*(E77:I77&lt;18)))</f>
        <v>0</v>
      </c>
      <c r="N77" s="394">
        <f t="shared" si="12"/>
        <v>0</v>
      </c>
      <c r="O77" s="395">
        <f t="shared" si="13"/>
        <v>0</v>
      </c>
      <c r="P77" s="397">
        <f>IF(I2="Februar","",COUNTIF(E77:I77,"&lt;16"))</f>
        <v>0</v>
      </c>
      <c r="Q77" s="394">
        <f t="shared" si="15"/>
        <v>0</v>
      </c>
      <c r="R77" s="395">
        <f t="shared" si="16"/>
        <v>0</v>
      </c>
      <c r="S77" s="398">
        <f>IF(I2="Februar","",SUMPRODUCT((E77:I77&gt;15)*(E77:I77&lt;18)))</f>
        <v>0</v>
      </c>
      <c r="T77" s="370">
        <f t="shared" si="18"/>
        <v>0</v>
      </c>
      <c r="U77" s="394">
        <f t="shared" si="19"/>
        <v>0</v>
      </c>
      <c r="V77" s="400">
        <f>IF(I2="Februar","",SUMPRODUCT((E77:I77&gt;6)*(E77:I77&lt;16))+SUMPRODUCT((E77:I77&gt;15)*(E77:I77&lt;18)))</f>
        <v>0</v>
      </c>
      <c r="W77" s="394">
        <f t="shared" si="21"/>
        <v>0</v>
      </c>
      <c r="X77" s="395">
        <f t="shared" si="22"/>
        <v>0</v>
      </c>
      <c r="Y77" s="102">
        <f>IF(I2="Februar","",COUNTIF(E77:I77,"&lt;18"))</f>
        <v>0</v>
      </c>
      <c r="Z77" s="339">
        <f t="shared" si="24"/>
        <v>0</v>
      </c>
      <c r="AA77" s="102">
        <f>IF(I2="Februar","",COUNTIF(E77:I77,"&lt;18"))</f>
        <v>0</v>
      </c>
      <c r="AB77" s="339">
        <f t="shared" si="26"/>
        <v>0</v>
      </c>
      <c r="AC77" s="102">
        <f>IF(I2="Februar","",COUNTIF(E77:I77,"&lt;18"))</f>
        <v>0</v>
      </c>
      <c r="AD77" s="339">
        <f t="shared" si="28"/>
        <v>0</v>
      </c>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row>
    <row r="78" spans="1:64" ht="18" hidden="1" customHeight="1">
      <c r="A78" s="358"/>
      <c r="B78" s="359"/>
      <c r="C78" s="369"/>
      <c r="D78" s="384"/>
      <c r="E78" s="324">
        <f>IF(E8&gt;$E$2+30,"",DATEDIF(E8,$E$2+30,"y"))</f>
        <v>122</v>
      </c>
      <c r="F78" s="324">
        <f>IF(F8&gt;$E$2+30,"",DATEDIF(F8,$E$2+30,"y"))</f>
        <v>122</v>
      </c>
      <c r="G78" s="324">
        <f>IF(G8&gt;$E$2+30,"",DATEDIF(G8,$E$2+30,"y"))</f>
        <v>122</v>
      </c>
      <c r="H78" s="324">
        <f>IF(H8&gt;$E$2+30,"",DATEDIF(H8,$E$2+30,"y"))</f>
        <v>122</v>
      </c>
      <c r="I78" s="325">
        <f>IF(I8&gt;$E$2+30,"",DATEDIF(I8,$E$2+30,"y"))</f>
        <v>122</v>
      </c>
      <c r="J78" s="393">
        <f>IF(G2&lt;31,"",COUNTIF(E78:I78,"&lt;7"))</f>
        <v>0</v>
      </c>
      <c r="K78" s="394">
        <f t="shared" si="9"/>
        <v>0</v>
      </c>
      <c r="L78" s="395">
        <f t="shared" si="10"/>
        <v>0</v>
      </c>
      <c r="M78" s="403">
        <f>IF(G2&lt;31,"",SUMPRODUCT((E78:I78&gt;6)*(E78:I78&lt;18)))</f>
        <v>0</v>
      </c>
      <c r="N78" s="404">
        <f t="shared" si="12"/>
        <v>0</v>
      </c>
      <c r="O78" s="395">
        <f t="shared" si="13"/>
        <v>0</v>
      </c>
      <c r="P78" s="397">
        <f>IF(G2&lt;31,"",COUNTIF(E78:I78,"&lt;16"))</f>
        <v>0</v>
      </c>
      <c r="Q78" s="394">
        <f t="shared" si="15"/>
        <v>0</v>
      </c>
      <c r="R78" s="395">
        <f t="shared" si="16"/>
        <v>0</v>
      </c>
      <c r="S78" s="398">
        <f>IF(G2&lt;31,"",SUMPRODUCT((E78:I78&gt;15)*(E78:I78&lt;18)))</f>
        <v>0</v>
      </c>
      <c r="T78" s="370">
        <f t="shared" si="18"/>
        <v>0</v>
      </c>
      <c r="U78" s="394">
        <f t="shared" si="19"/>
        <v>0</v>
      </c>
      <c r="V78" s="400">
        <f>IF(G2&lt;31,"",SUMPRODUCT((E78:I78&gt;6)*(E78:I78&lt;16))+SUMPRODUCT((E78:I78&gt;15)*(E78:I78&lt;18)))</f>
        <v>0</v>
      </c>
      <c r="W78" s="394">
        <f t="shared" si="21"/>
        <v>0</v>
      </c>
      <c r="X78" s="395">
        <f t="shared" si="22"/>
        <v>0</v>
      </c>
      <c r="Y78" s="102">
        <f>IF(G2&lt;31,"",COUNTIF(E78:I78,"&lt;18"))</f>
        <v>0</v>
      </c>
      <c r="Z78" s="339">
        <f t="shared" si="24"/>
        <v>0</v>
      </c>
      <c r="AA78" s="102">
        <f>IF(G2&lt;31,"",COUNTIF(E78:I78,"&lt;18"))</f>
        <v>0</v>
      </c>
      <c r="AB78" s="339">
        <f t="shared" si="26"/>
        <v>0</v>
      </c>
      <c r="AC78" s="102">
        <f>IF(G2&lt;31,"",COUNTIF(E78:I78,"&lt;18"))</f>
        <v>0</v>
      </c>
      <c r="AD78" s="339">
        <f t="shared" si="28"/>
        <v>0</v>
      </c>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row>
    <row r="79" spans="1:64" ht="20.100000000000001" hidden="1" customHeight="1">
      <c r="A79" s="405"/>
      <c r="B79" s="340"/>
      <c r="C79" s="378"/>
      <c r="D79" s="406"/>
      <c r="E79" s="407"/>
      <c r="F79" s="359"/>
      <c r="G79" s="407"/>
      <c r="H79" s="338"/>
      <c r="I79" s="408">
        <f>IF(AND(J33&gt;0,N33=0,Q33&gt;K33),H87*(F13-1)/30+H79,H79)</f>
        <v>0</v>
      </c>
      <c r="J79" s="409"/>
      <c r="K79" s="410"/>
      <c r="L79" s="411">
        <f>COUNTIF(L48:L78,"&gt;0")</f>
        <v>0</v>
      </c>
      <c r="M79" s="412"/>
      <c r="N79" s="413"/>
      <c r="O79" s="414">
        <f>COUNTIF(O48:O78,"&gt;0")</f>
        <v>0</v>
      </c>
      <c r="P79" s="415"/>
      <c r="Q79" s="416"/>
      <c r="R79" s="416">
        <f>COUNTIF(R48:R78,"&gt;0")</f>
        <v>0</v>
      </c>
      <c r="S79" s="417"/>
      <c r="T79" s="418"/>
      <c r="U79" s="419">
        <f>COUNTIF(U48:U78,"&gt;0")</f>
        <v>0</v>
      </c>
      <c r="V79" s="420"/>
      <c r="W79" s="410"/>
      <c r="X79" s="416">
        <f>COUNTIF(X48:X78,"&gt;0")</f>
        <v>0</v>
      </c>
      <c r="Y79" s="417"/>
      <c r="Z79" s="411">
        <f>COUNTIF(Z48:Z78,"&gt;0")</f>
        <v>0</v>
      </c>
      <c r="AA79" s="417"/>
      <c r="AB79" s="411">
        <f>COUNTIF(AB48:AB78,"&gt;0")</f>
        <v>0</v>
      </c>
      <c r="AC79" s="417"/>
      <c r="AD79" s="411">
        <f>COUNTIF(AD48:AD78,"&gt;0")</f>
        <v>0</v>
      </c>
      <c r="AE79" s="392">
        <f>SUM(L79:AD79)</f>
        <v>0</v>
      </c>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row>
    <row r="80" spans="1:64" ht="20.100000000000001" hidden="1" customHeight="1">
      <c r="A80" s="405"/>
      <c r="B80" s="359"/>
      <c r="C80" s="378"/>
      <c r="D80" s="340"/>
      <c r="E80" s="340"/>
      <c r="F80" s="421"/>
      <c r="G80" s="338"/>
      <c r="H80" s="338"/>
      <c r="I80" s="339"/>
      <c r="J80" s="402"/>
      <c r="L80" s="402">
        <f>$C$23*0.36</f>
        <v>161.63999999999999</v>
      </c>
      <c r="M80" s="402"/>
      <c r="O80" s="402">
        <f>$C$23*0.12</f>
        <v>53.879999999999995</v>
      </c>
      <c r="P80" s="402"/>
      <c r="R80" s="402">
        <f>$C$23*0.36</f>
        <v>161.63999999999999</v>
      </c>
      <c r="S80" s="402"/>
      <c r="U80" s="402">
        <f>$C$23*0.24</f>
        <v>107.75999999999999</v>
      </c>
      <c r="V80" s="402"/>
      <c r="X80" s="402">
        <f>$C$23*0.24</f>
        <v>107.75999999999999</v>
      </c>
      <c r="Y80" s="402"/>
      <c r="Z80" s="402">
        <f>$C$23*0.36</f>
        <v>161.63999999999999</v>
      </c>
      <c r="AA80" s="402"/>
      <c r="AB80" s="402">
        <f>$C$23*0.48</f>
        <v>215.51999999999998</v>
      </c>
      <c r="AC80" s="402"/>
      <c r="AD80" s="402">
        <f>$C$23*0.6</f>
        <v>269.39999999999998</v>
      </c>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row>
    <row r="81" spans="1:64" ht="20.100000000000001" hidden="1" customHeight="1">
      <c r="A81" s="405"/>
      <c r="B81" s="359"/>
      <c r="C81" s="378"/>
      <c r="D81" s="340"/>
      <c r="E81" s="340"/>
      <c r="F81" s="421"/>
      <c r="G81" s="338"/>
      <c r="H81" s="338"/>
      <c r="I81" s="339"/>
      <c r="J81" s="402"/>
      <c r="L81" s="422">
        <f>IF(AND($AE$47=1,$AE$79&gt;30,L48=0),L79-1,IF(AND($AE$47=1,$AE$79=28,L48=0),L79+2,IF(AND($AE$47=1,$AE$79=29,L48=0),L79+1,L79)))</f>
        <v>0</v>
      </c>
      <c r="M81" s="422"/>
      <c r="O81" s="422">
        <f>IF(AND($AE$47=1,$AE$79&gt;30,O48=0),O79-1,IF(AND($AE$47=1,$AE$79=28,O48=0),O79+2,IF(AND($AE$47=1,$AE$79=29,O48=0),O79+1,O79)))</f>
        <v>0</v>
      </c>
      <c r="P81" s="422"/>
      <c r="Q81" s="422"/>
      <c r="R81" s="422">
        <f>IF(AND($AE$47=1,$AE$79&gt;30,R48=0),R79-1,IF(AND($AE$47=1,$AE$79=28,R48=0),R79+2,IF(AND($AE$47=1,$AE$79=29,R48=0),R79+1,R79)))</f>
        <v>0</v>
      </c>
      <c r="S81" s="422"/>
      <c r="U81" s="422">
        <f>IF(AND($AE$47=1,$AE$79&gt;30,U48=0),U79-1,IF(AND($AE$47=1,$AE$79=28,U48=0),U79+2,IF(AND($AE$47=1,$AE$79=29,U48=0),U79+1,U79)))</f>
        <v>0</v>
      </c>
      <c r="V81" s="422"/>
      <c r="X81" s="422">
        <f>IF(AND($AE$47=1,$AE$79&gt;30,X48=0),X79-1,IF(AND($AE$47=1,$AE$79=28,X48=0),X79+2,IF(AND($AE$47=1,$AE$79=29,X48=0),X79+1,X79)))</f>
        <v>0</v>
      </c>
      <c r="Y81" s="422"/>
      <c r="Z81" s="422">
        <f>IF(AND($AE$47=1,$AE$79&gt;30,Z48=0),Z79-1,IF(AND($AE$47=1,$AE$79=28,Z48=0),Z79+2,IF(AND($AE$47=1,$AE$79=29,Z48=0),Z79+1,Z79)))</f>
        <v>0</v>
      </c>
      <c r="AA81" s="422"/>
      <c r="AB81" s="422">
        <f>IF(AND($AE$47=1,$AE$79&gt;30,AB48=0),AB79-1,IF(AND($AE$47=1,$AE$79=28,AB48=0),AB79+2,IF(AND($AE$47=1,$AE$79=29,AB48=0),AB79+1,AB79)))</f>
        <v>0</v>
      </c>
      <c r="AC81" s="422"/>
      <c r="AD81" s="422">
        <f>IF(AND($AE$47=1,$AE$79&gt;30,AD48=0),AD79-1,IF(AND($AE$47=1,$AE$79=28,AD48=0),AD79+2,IF(AND($AE$47=1,$AE$79=29,AD48=0),AD79+1,AD79)))</f>
        <v>0</v>
      </c>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7"/>
      <c r="BL81" s="287"/>
    </row>
    <row r="82" spans="1:64" ht="20.100000000000001" hidden="1" customHeight="1">
      <c r="A82" s="405"/>
      <c r="B82" s="359"/>
      <c r="C82" s="378"/>
      <c r="D82" s="340"/>
      <c r="E82" s="340"/>
      <c r="F82" s="421"/>
      <c r="G82" s="338"/>
      <c r="H82" s="338"/>
      <c r="I82" s="339"/>
      <c r="J82" s="402"/>
      <c r="L82" s="422">
        <f>IF(AND($AE$79&gt;30,L79=L81),30,IF(AND($AE$79=28,$I$2="februar",L79=L81),30,IF(AND($AE$79=29,$I$2="Februar"),30,L81)))</f>
        <v>0</v>
      </c>
      <c r="M82" s="422"/>
      <c r="O82" s="422">
        <f>IF(AND($AE$79&gt;30,O79=O81),30,IF(AND($AE$79=28,$I$2="februar",O79=O81),30,IF(AND($AE$79=29,$I$2="Februar"),30,O81)))</f>
        <v>0</v>
      </c>
      <c r="P82" s="422"/>
      <c r="Q82" s="422"/>
      <c r="R82" s="422">
        <f>IF(AND($AE$79&gt;30,R79=R81),30,IF(AND($AE$79=28,$I$2="februar",R79=R81),30,IF(AND($AE$79=29,$I$2="Februar"),30,R81)))</f>
        <v>0</v>
      </c>
      <c r="S82" s="422"/>
      <c r="U82" s="422">
        <f>IF(AND($AE$79&gt;30,U79=U81),30,IF(AND($AE$79=28,$I$2="februar",U79=U81),30,IF(AND($AE$79=29,$I$2="Februar"),30,U81)))</f>
        <v>0</v>
      </c>
      <c r="V82" s="422"/>
      <c r="X82" s="422">
        <f>IF(AND($AE$79&gt;30,X79=X81),30,IF(AND($AE$79=28,$I$2="februar",X79=X81),30,IF(AND($AE$79=29,$I$2="Februar"),30,X81)))</f>
        <v>0</v>
      </c>
      <c r="Y82" s="422"/>
      <c r="Z82" s="422">
        <f>IF(AND($AE$79&gt;30,Z79=Z81),30,IF(AND($AE$79=28,$I$2="februar",Z79=Z81),30,IF(AND($AE$79=29,$I$2="Februar"),30,Z81)))</f>
        <v>0</v>
      </c>
      <c r="AA82" s="422"/>
      <c r="AB82" s="422">
        <f>IF(AND($AE$79&gt;30,AB79=AB81),30,IF(AND($AE$79=28,$I$2="februar",AB79=AB81),30,IF(AND($AE$79=29,$I$2="Februar"),30,AB81)))</f>
        <v>0</v>
      </c>
      <c r="AC82" s="422"/>
      <c r="AD82" s="422">
        <f>IF(AND($AE$79&gt;30,AD79=AD81),30,IF(AND($AE$79=28,$I$2="februar",AD79=AD81),30,IF(AND($AE$79=29,$I$2="Februar"),30,AD81)))</f>
        <v>0</v>
      </c>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row>
    <row r="83" spans="1:64" ht="20.100000000000001" hidden="1" customHeight="1">
      <c r="A83" s="405"/>
      <c r="B83" s="359"/>
      <c r="C83" s="378"/>
      <c r="D83" s="340"/>
      <c r="E83" s="340"/>
      <c r="F83" s="421"/>
      <c r="G83" s="338"/>
      <c r="H83" s="338"/>
      <c r="I83" s="339"/>
      <c r="J83" s="402"/>
      <c r="L83" s="422">
        <f>IF(OR(Q89&gt;0,O84&gt;0),L81,L82)</f>
        <v>0</v>
      </c>
      <c r="M83" s="422"/>
      <c r="N83" s="422"/>
      <c r="O83" s="422">
        <f>IF(R80&lt;&gt;Q89,O81,O82)</f>
        <v>0</v>
      </c>
      <c r="P83" s="422"/>
      <c r="Q83" s="422"/>
      <c r="R83" s="422">
        <f>IF(OR(X90&gt;0,Z86&gt;0),R81,R82)</f>
        <v>0</v>
      </c>
      <c r="S83" s="422"/>
      <c r="U83" s="422">
        <f>IF(O84&gt;0,U81,U82)</f>
        <v>0</v>
      </c>
      <c r="V83" s="422"/>
      <c r="X83" s="422">
        <f>IF(AND(Z79&gt;0,U79&gt;0),X81,IF(Z79&gt;0,X81,X82))</f>
        <v>0</v>
      </c>
      <c r="Y83" s="422"/>
      <c r="Z83" s="422">
        <f>IF(AB84&gt;0,Z81,Z82)</f>
        <v>0</v>
      </c>
      <c r="AA83" s="422"/>
      <c r="AB83" s="422">
        <f>IF(AD83&gt;0,AB81,AB82)</f>
        <v>0</v>
      </c>
      <c r="AC83" s="422"/>
      <c r="AD83" s="402">
        <f>IF(AD79=0,0,AD80/$H$2*AD82)</f>
        <v>0</v>
      </c>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row>
    <row r="84" spans="1:64" ht="20.100000000000001" hidden="1" customHeight="1">
      <c r="A84" s="405"/>
      <c r="B84" s="359"/>
      <c r="C84" s="378"/>
      <c r="D84" s="340"/>
      <c r="E84" s="340"/>
      <c r="F84" s="421"/>
      <c r="G84" s="338"/>
      <c r="H84" s="338"/>
      <c r="I84" s="339"/>
      <c r="J84" s="402"/>
      <c r="L84" s="422">
        <f>IF(Z86&gt;0,L81,L83)</f>
        <v>0</v>
      </c>
      <c r="M84" s="422"/>
      <c r="N84" s="422"/>
      <c r="O84" s="402">
        <f>IF(O79=0,0,O80/$H$2*O83)</f>
        <v>0</v>
      </c>
      <c r="P84" s="422"/>
      <c r="Q84" s="422"/>
      <c r="R84" s="422">
        <f>IF(AND($AE$79&gt;30,R78=0),R79,IF(AND($AE$79=28,$I$2="februar",R75=0),R79,IF(AND($AE$79=29,$I$2="Februar",R76=0),R79,R83)))</f>
        <v>0</v>
      </c>
      <c r="S84" s="422"/>
      <c r="T84" s="422"/>
      <c r="U84" s="422">
        <f>IF(Z86&gt;0,U81,U83)</f>
        <v>0</v>
      </c>
      <c r="V84" s="422"/>
      <c r="X84" s="422">
        <f>IF(AND($AE$79&gt;30,X78=0),X79,IF(AND($AE$79=28,$I$2="februar",X75=0),X79,IF(AND($AE$79=29,$I$2="Februar",X76=0),X79,X83)))</f>
        <v>0</v>
      </c>
      <c r="Y84" s="422"/>
      <c r="Z84" s="422">
        <f>IF(X90&gt;0,Z81,Z83)</f>
        <v>0</v>
      </c>
      <c r="AA84" s="422"/>
      <c r="AB84" s="402">
        <f>IF(AB79=0,0,AB80/$H$2*AB83)</f>
        <v>0</v>
      </c>
      <c r="AC84" s="422"/>
      <c r="AD84" s="423">
        <f>IF(AND($AE$79&gt;30,AD78=0),AD80/30*AD79,IF(AND($AE$79=28,$I$2="februar",AD75=0),AD80/30*AD79,IF(AND($AE$79=29,$I$2="Februar",AD76=0),AD80/30*AD79,AD83)))</f>
        <v>0</v>
      </c>
      <c r="AF84" s="287"/>
      <c r="AG84" s="287"/>
      <c r="AH84" s="287"/>
      <c r="AI84" s="287"/>
      <c r="AJ84" s="287"/>
      <c r="AK84" s="287"/>
      <c r="AL84" s="287"/>
      <c r="AM84" s="287"/>
      <c r="AN84" s="287"/>
      <c r="AO84" s="287"/>
      <c r="AP84" s="287"/>
      <c r="AQ84" s="287"/>
      <c r="AR84" s="287"/>
      <c r="AS84" s="287"/>
      <c r="AT84" s="287"/>
      <c r="AU84" s="287"/>
      <c r="AV84" s="287"/>
      <c r="AW84" s="287"/>
      <c r="AX84" s="287"/>
      <c r="AY84" s="287"/>
      <c r="AZ84" s="287"/>
      <c r="BA84" s="287"/>
      <c r="BB84" s="287"/>
      <c r="BC84" s="287"/>
      <c r="BD84" s="287"/>
      <c r="BE84" s="287"/>
      <c r="BF84" s="287"/>
      <c r="BG84" s="287"/>
      <c r="BH84" s="287"/>
      <c r="BI84" s="287"/>
      <c r="BJ84" s="287"/>
      <c r="BK84" s="287"/>
      <c r="BL84" s="287"/>
    </row>
    <row r="85" spans="1:64" ht="20.100000000000001" hidden="1" customHeight="1">
      <c r="A85" s="405"/>
      <c r="B85" s="359"/>
      <c r="C85" s="378"/>
      <c r="D85" s="340"/>
      <c r="E85" s="340"/>
      <c r="F85" s="421"/>
      <c r="G85" s="338"/>
      <c r="H85" s="338"/>
      <c r="I85" s="339"/>
      <c r="J85" s="402"/>
      <c r="L85" s="422">
        <f>IF(AND($AE$79&gt;30,L78=0),L79,IF(AND($AE$79=28,$I$2="februar",L75=0),L79,IF(AND($AE$79=29,$I$2="Februar",L76=0),L79,L84)))</f>
        <v>0</v>
      </c>
      <c r="M85" s="422"/>
      <c r="N85" s="422"/>
      <c r="O85" s="423">
        <f>IF(AND($AE$79&gt;30,O78=0),O80/30*O79,IF(AND($AE$79=28,$I$2="februar",O75=0),O80/30*O79,IF(AND($AE$79=29,$I$2="Februar",O76=0),O80/30*O79,O84)))</f>
        <v>0</v>
      </c>
      <c r="P85" s="422"/>
      <c r="Q85" s="422"/>
      <c r="R85" s="422"/>
      <c r="S85" s="422"/>
      <c r="T85" s="422"/>
      <c r="U85" s="422">
        <f>IF(AND($AE$79&gt;30,U78=0),U79,IF(AND($AE$79=28,$I$2="februar",U75=0),U79,IF(AND($AE$79=29,$I$2="Februar",U76=0),U79,U84)))</f>
        <v>0</v>
      </c>
      <c r="V85" s="422"/>
      <c r="X85" s="422"/>
      <c r="Y85" s="422"/>
      <c r="Z85" s="422">
        <f>IF(O79&gt;0,Z81,Z84)</f>
        <v>0</v>
      </c>
      <c r="AA85" s="422"/>
      <c r="AB85" s="402">
        <f>IF(AND(AB48&gt;0,Z86&lt;Z80),AB84/$H$2*AB81,AB84)</f>
        <v>0</v>
      </c>
      <c r="AC85" s="422"/>
      <c r="AD85" s="422"/>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7"/>
      <c r="BL85" s="287"/>
    </row>
    <row r="86" spans="1:64" ht="20.100000000000001" hidden="1" customHeight="1">
      <c r="A86" s="405"/>
      <c r="B86" s="359"/>
      <c r="C86" s="378"/>
      <c r="D86" s="340"/>
      <c r="E86" s="340"/>
      <c r="F86" s="421"/>
      <c r="G86" s="338"/>
      <c r="H86" s="338"/>
      <c r="I86" s="339"/>
      <c r="J86" s="402"/>
      <c r="L86" s="422"/>
      <c r="M86" s="422"/>
      <c r="N86" s="422"/>
      <c r="O86" s="423">
        <f>IF(AND(I2="Februar",O79&gt;27,O48&gt;0),O80,O85)</f>
        <v>0</v>
      </c>
      <c r="P86" s="422"/>
      <c r="Q86" s="422"/>
      <c r="R86" s="422"/>
      <c r="S86" s="422"/>
      <c r="T86" s="422"/>
      <c r="U86" s="422"/>
      <c r="V86" s="422"/>
      <c r="X86" s="422"/>
      <c r="Y86" s="422"/>
      <c r="Z86" s="402">
        <f>IF(Z79=0,0,Z80/$H$2*Z85)</f>
        <v>0</v>
      </c>
      <c r="AA86" s="422"/>
      <c r="AB86" s="402">
        <f>IF(AD83&lt;AD80,AB84,AB85)</f>
        <v>0</v>
      </c>
      <c r="AC86" s="422"/>
      <c r="AF86" s="287"/>
      <c r="AG86" s="287"/>
      <c r="AH86" s="287"/>
      <c r="AI86" s="287"/>
      <c r="AJ86" s="287"/>
      <c r="AK86" s="287"/>
      <c r="AL86" s="287"/>
      <c r="AM86" s="287"/>
      <c r="AN86" s="287"/>
      <c r="AO86" s="287"/>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7"/>
      <c r="BL86" s="287"/>
    </row>
    <row r="87" spans="1:64" ht="20.100000000000001" hidden="1" customHeight="1">
      <c r="A87" s="405"/>
      <c r="B87" s="359"/>
      <c r="C87" s="378"/>
      <c r="D87" s="340"/>
      <c r="E87" s="340"/>
      <c r="F87" s="424"/>
      <c r="G87" s="338"/>
      <c r="H87" s="338"/>
      <c r="I87" s="339"/>
      <c r="J87" s="402"/>
      <c r="M87" s="425"/>
      <c r="P87" s="425"/>
      <c r="S87" s="425"/>
      <c r="V87" s="425"/>
      <c r="Y87" s="425"/>
      <c r="Z87" s="423">
        <f>IF(AND(U90&gt;0,U90&lt;&gt;U80),Z86/$H$2*Z81,Z86)</f>
        <v>0</v>
      </c>
      <c r="AA87" s="425"/>
      <c r="AB87" s="423">
        <f>IF(AND($AE$79&gt;30,AB78&gt;0,AD79&gt;0),AB80/30*(AB79-1),IF(AND($AE$79&gt;30,AB78&gt;0,Z79&gt;0),AB80/30*(AB79-1),AB86))</f>
        <v>0</v>
      </c>
      <c r="AC87" s="425"/>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row>
    <row r="88" spans="1:64" ht="20.100000000000001" hidden="1" customHeight="1">
      <c r="A88" s="405"/>
      <c r="B88" s="359"/>
      <c r="C88" s="378"/>
      <c r="D88" s="340"/>
      <c r="E88" s="340"/>
      <c r="F88" s="424"/>
      <c r="G88" s="338"/>
      <c r="H88" s="338"/>
      <c r="I88" s="339"/>
      <c r="J88" s="402"/>
      <c r="M88" s="425"/>
      <c r="P88" s="425"/>
      <c r="S88" s="425"/>
      <c r="V88" s="425"/>
      <c r="Y88" s="425"/>
      <c r="Z88" s="423">
        <f>IF(AND(U90&gt;0,X90&gt;0),Z86,IF(AND(U90&gt;0,AE79=31,Z78&gt;0),Z86,IF(AND(U90&gt;0,AE79=30,Z77&gt;0),Z86,IF(AND(U90&gt;0,AE79=28,I2="Februar",Z75&gt;0),Z86,Z87))))</f>
        <v>0</v>
      </c>
      <c r="AA88" s="425"/>
      <c r="AB88" s="406">
        <f>MIN(AB85,AB87)</f>
        <v>0</v>
      </c>
      <c r="AC88" s="425"/>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row>
    <row r="89" spans="1:64" ht="20.100000000000001" hidden="1" customHeight="1">
      <c r="A89" s="405"/>
      <c r="B89" s="359"/>
      <c r="C89" s="378"/>
      <c r="D89" s="340"/>
      <c r="E89" s="340"/>
      <c r="F89" s="424"/>
      <c r="G89" s="338"/>
      <c r="H89" s="338"/>
      <c r="I89" s="339"/>
      <c r="J89" s="402"/>
      <c r="M89" s="425"/>
      <c r="P89" s="425"/>
      <c r="Q89" s="425"/>
      <c r="S89" s="425"/>
      <c r="V89" s="425"/>
      <c r="Y89" s="425"/>
      <c r="Z89" s="423">
        <f>IF(AND(L90&gt;0,U90&gt;0,L84&lt;L79),Z80/30*Z79,IF(AND(L90&gt;0,U90&gt;0,U84&lt;U79),Z80/30*Z79,IF(AND(L90&gt;0,U90&gt;0,L84=L79,U84=U79),Z80/30*Z85,Z88)))</f>
        <v>0</v>
      </c>
      <c r="AA89" s="425"/>
      <c r="AC89" s="425"/>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row>
    <row r="90" spans="1:64" ht="20.100000000000001" hidden="1" customHeight="1">
      <c r="A90" s="405"/>
      <c r="B90" s="359"/>
      <c r="C90" s="378"/>
      <c r="D90" s="340"/>
      <c r="E90" s="340"/>
      <c r="F90" s="424"/>
      <c r="G90" s="338"/>
      <c r="H90" s="338"/>
      <c r="I90" s="339"/>
      <c r="J90" s="402"/>
      <c r="L90" s="425">
        <f>IF(L79=0,0,L80/$H$2*L85)</f>
        <v>0</v>
      </c>
      <c r="M90" s="425"/>
      <c r="O90" s="425">
        <f>IF(O84&gt;O80,O80/$H$2*O82,O86)</f>
        <v>0</v>
      </c>
      <c r="P90" s="425"/>
      <c r="Q90" s="425"/>
      <c r="R90" s="425">
        <f>IF(OR(Z86&gt;137.51,R79=0),0,R80/$H$2*R84)</f>
        <v>0</v>
      </c>
      <c r="S90" s="425"/>
      <c r="U90" s="425">
        <f>IF(U79=0,0,U80/$H$2*U85)</f>
        <v>0</v>
      </c>
      <c r="V90" s="425"/>
      <c r="X90" s="425">
        <f>IF(X79=0,0,X80/$H$2*X84)</f>
        <v>0</v>
      </c>
      <c r="Y90" s="425"/>
      <c r="Z90" s="426">
        <f>IF(AND($AE$79&gt;30,Z78&gt;0,X79&gt;0,R79&gt;0),Z80/30*(Z79-1),Z89)</f>
        <v>0</v>
      </c>
      <c r="AA90" s="425"/>
      <c r="AB90" s="427">
        <f>IF(AB86+Z89&gt;AB80,AB88,AB87)</f>
        <v>0</v>
      </c>
      <c r="AC90" s="425"/>
      <c r="AD90" s="426">
        <f>IF(AND(AB48=0,AB90&gt;0),AD83/$H$2*AD81,AD84)</f>
        <v>0</v>
      </c>
      <c r="AE90" s="428">
        <f>IF(Z89=Z80,Z89,SUM(L90:AD90))</f>
        <v>0</v>
      </c>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row>
    <row r="91" spans="1:64" ht="20.100000000000001" hidden="1" customHeight="1">
      <c r="A91" s="358" t="s">
        <v>164</v>
      </c>
      <c r="B91" s="359"/>
      <c r="C91" s="378">
        <f>Eingabetabelle!D37</f>
        <v>0</v>
      </c>
      <c r="D91" s="378">
        <f>Eingabetabelle!E37</f>
        <v>0</v>
      </c>
      <c r="E91" s="378">
        <f>Eingabetabelle!F37</f>
        <v>0</v>
      </c>
      <c r="F91" s="378">
        <f>Eingabetabelle!G37</f>
        <v>0</v>
      </c>
      <c r="G91" s="378">
        <f>Eingabetabelle!H37</f>
        <v>0</v>
      </c>
      <c r="H91" s="378">
        <f>Eingabetabelle!I37</f>
        <v>0</v>
      </c>
      <c r="I91" s="378">
        <f>Eingabetabelle!J37</f>
        <v>0</v>
      </c>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row>
    <row r="92" spans="1:64" ht="16.5" hidden="1">
      <c r="A92" s="358"/>
      <c r="B92" s="359"/>
      <c r="C92" s="378">
        <f>IF(C91="ja",C23*35/100,0)</f>
        <v>0</v>
      </c>
      <c r="D92" s="378">
        <f>IF(D91="ja",D23*35/100,0)</f>
        <v>0</v>
      </c>
      <c r="E92" s="378">
        <f>IF(AND(E18&gt;14,E91="ja"),E33*35/100,0)</f>
        <v>0</v>
      </c>
      <c r="F92" s="378">
        <f>IF(AND(F18&gt;14,F91="ja"),F33*35/100,0)</f>
        <v>0</v>
      </c>
      <c r="G92" s="378">
        <f>IF(AND(G18&gt;14,G91="ja"),G33*35/100,0)</f>
        <v>0</v>
      </c>
      <c r="H92" s="378">
        <f>IF(AND(H18&gt;14,H91="ja"),H33*35/100,0)</f>
        <v>0</v>
      </c>
      <c r="I92" s="429">
        <f>IF(AND(I18&gt;14,I91="ja"),I33*35/100,0)</f>
        <v>0</v>
      </c>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row>
    <row r="93" spans="1:64" ht="18.75" hidden="1" customHeight="1">
      <c r="A93" s="430" t="s">
        <v>165</v>
      </c>
      <c r="B93" s="431" t="s">
        <v>166</v>
      </c>
      <c r="C93" s="432">
        <f>Eingabetabelle!D32</f>
        <v>0</v>
      </c>
      <c r="D93" s="432">
        <f>Eingabetabelle!E32</f>
        <v>0</v>
      </c>
      <c r="E93" s="432">
        <f>Eingabetabelle!F32</f>
        <v>0</v>
      </c>
      <c r="F93" s="432">
        <f>Eingabetabelle!G32</f>
        <v>0</v>
      </c>
      <c r="G93" s="432">
        <f>Eingabetabelle!H32</f>
        <v>0</v>
      </c>
      <c r="H93" s="432">
        <f>Eingabetabelle!I32</f>
        <v>0</v>
      </c>
      <c r="I93" s="432">
        <f>Eingabetabelle!J32</f>
        <v>0</v>
      </c>
      <c r="J93" s="340"/>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row>
    <row r="94" spans="1:64" ht="20.100000000000001" hidden="1" customHeight="1">
      <c r="A94" s="102" t="s">
        <v>43</v>
      </c>
      <c r="B94" s="359"/>
      <c r="C94" s="433">
        <f>Eingabetabelle!D42</f>
        <v>0</v>
      </c>
      <c r="D94" s="433">
        <f>Eingabetabelle!E42</f>
        <v>0</v>
      </c>
      <c r="E94" s="433">
        <f>Eingabetabelle!F42</f>
        <v>0</v>
      </c>
      <c r="F94" s="433">
        <f>Eingabetabelle!G42</f>
        <v>0</v>
      </c>
      <c r="G94" s="433">
        <f>Eingabetabelle!H42</f>
        <v>0</v>
      </c>
      <c r="H94" s="433">
        <f>Eingabetabelle!I42</f>
        <v>0</v>
      </c>
      <c r="I94" s="433">
        <f>Eingabetabelle!J42</f>
        <v>0</v>
      </c>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row>
    <row r="95" spans="1:64" ht="20.100000000000001" hidden="1" customHeight="1">
      <c r="A95" s="358" t="s">
        <v>167</v>
      </c>
      <c r="B95" s="434" t="str">
        <f>WWPauschale</f>
        <v>Nein</v>
      </c>
      <c r="C95" s="435">
        <f>C33*2.3/100</f>
        <v>10.326999999999998</v>
      </c>
      <c r="D95" s="436">
        <f>IF(AND(D22=17,D18=18),D25*2.3/100+D26*1.4/100,0)</f>
        <v>0</v>
      </c>
      <c r="E95" s="436">
        <f>IF(AND(E18=6,E16=5),E25*0.012+E26*0.008,IF(AND(E18=14,E16=13),E25*0.014+E26*0.012,IF(AND(E18=18,E16=17),E25*0.023+E26*0.014,IF(E18&gt;24,E33*0.023,0))))</f>
        <v>0</v>
      </c>
      <c r="F95" s="436">
        <f>IF(AND(F18=6,F16=5),F25*0.012+F26*0.008,IF(AND(F18=14,F16=13),F25*0.014+F26*0.012,IF(AND(F18=18,F16=17),F25*0.023+F26*0.014,IF(F18&gt;24,F33*0.023,0))))</f>
        <v>0</v>
      </c>
      <c r="G95" s="436">
        <f>IF(AND(G18=6,G16=5),G25*0.012+G26*0.008,IF(AND(G18=14,G16=13),G25*0.014+G26*0.012,IF(AND(G18=18,G16=17),G25*0.023+G26*0.014,IF(G18&gt;24,G33*0.023,0))))</f>
        <v>0</v>
      </c>
      <c r="H95" s="436">
        <f>IF(AND(H18=6,H16=5),H25*0.012+H26*0.008,IF(AND(H18=14,H16=13),H25*0.014+H26*0.012,IF(AND(H18=18,H16=17),H25*0.023+H26*0.014,IF(H18&gt;24,H33*0.023,0))))</f>
        <v>0</v>
      </c>
      <c r="I95" s="437">
        <f>IF(AND(I18=6,I16=5),I25*0.012+I26*0.008,IF(AND(I18=14,I16=13),I25*0.014+I26*0.012,IF(AND(I18=18,I16=17),I25*0.023+I26*0.014,IF(I18&gt;24,I33*0.023,0))))</f>
        <v>0</v>
      </c>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row>
    <row r="96" spans="1:64" ht="20.100000000000001" hidden="1" customHeight="1">
      <c r="A96" s="438"/>
      <c r="B96" s="439"/>
      <c r="C96" s="440"/>
      <c r="D96" s="440">
        <f>IF(D22&gt;17,D33*2.3/100,D95)</f>
        <v>0</v>
      </c>
      <c r="E96" s="440">
        <f>IF(E33=0,0,IF(E33&lt;224,E33*0.008,IF(AND(E16&lt;6,E18&lt;6),E23*0.8/100,IF(AND(E16&lt;14,E18&lt;14),E23*1.2/100,IF(AND(E16&lt;18,E18&lt;18),E23*1.4/100,E23*2.3/100)))))</f>
        <v>0</v>
      </c>
      <c r="F96" s="440">
        <f>IF(F33=0,0,IF(F33&lt;224,F33*0.008,IF(AND(F16&lt;6,F18&lt;6),F23*0.8/100,IF(AND(F16&lt;14,F18&lt;14),F23*1.2/100,IF(AND(F16&lt;18,F18&lt;18),F23*1.4/100,F23*2.3/100)))))</f>
        <v>0</v>
      </c>
      <c r="G96" s="440">
        <f>IF(G33=0,0,IF(G33&lt;224,G33*0.008,IF(AND(G16&lt;6,G18&lt;6),G23*0.8/100,IF(AND(G16&lt;14,G18&lt;14),G23*1.2/100,IF(AND(G16&lt;18,G18&lt;18),G23*1.4/100,G23*2.3/100)))))</f>
        <v>0</v>
      </c>
      <c r="H96" s="440">
        <f>IF(H33=0,0,IF(H33&lt;224,H33*0.008,IF(AND(H16&lt;6,H18&lt;6),H23*0.8/100,IF(AND(H16&lt;14,H18&lt;14),H23*1.2/100,IF(AND(H16&lt;18,H18&lt;18),H23*1.4/100,H23*2.3/100)))))</f>
        <v>0</v>
      </c>
      <c r="I96" s="441">
        <f>IF(I33=0,0,IF(I33&lt;224,I33*0.008,IF(AND(I16&lt;6,I18&lt;6),I23*0.8/100,IF(AND(I16&lt;14,I18&lt;14),I23*1.2/100,IF(AND(I16&lt;18,I18&lt;18),I23*1.4/100,I23*2.3/100)))))</f>
        <v>0</v>
      </c>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row>
    <row r="97" spans="1:64" ht="20.100000000000001" hidden="1" customHeight="1">
      <c r="A97" s="438"/>
      <c r="B97" s="439"/>
      <c r="C97" s="440"/>
      <c r="D97" s="440"/>
      <c r="E97" s="440">
        <f>IF(E95&gt;0,E95,E96)</f>
        <v>0</v>
      </c>
      <c r="F97" s="440">
        <f>IF(F95&gt;0,F95,F96)</f>
        <v>0</v>
      </c>
      <c r="G97" s="440">
        <f>IF(G95&gt;0,G95,G96)</f>
        <v>0</v>
      </c>
      <c r="H97" s="440">
        <f>IF(H95&gt;0,H95,H96)</f>
        <v>0</v>
      </c>
      <c r="I97" s="441">
        <f>IF(I95&gt;0,I95,I96)</f>
        <v>0</v>
      </c>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row>
    <row r="98" spans="1:64" ht="16.5" hidden="1">
      <c r="A98" s="438"/>
      <c r="B98" s="442"/>
      <c r="C98" s="433">
        <f>IF(B95="ja",C95,0)</f>
        <v>0</v>
      </c>
      <c r="D98" s="433">
        <f>IF(B95="ja",D96,0)</f>
        <v>0</v>
      </c>
      <c r="E98" s="433">
        <f>IF(B95="ja",E97,0)</f>
        <v>0</v>
      </c>
      <c r="F98" s="433">
        <f>IF(B95="ja",F97,0)</f>
        <v>0</v>
      </c>
      <c r="G98" s="433">
        <f>IF(B95="ja",G97,0)</f>
        <v>0</v>
      </c>
      <c r="H98" s="433">
        <f>IF(B95="ja",H97,0)</f>
        <v>0</v>
      </c>
      <c r="I98" s="443">
        <f>IF(B95="ja",I97,0)</f>
        <v>0</v>
      </c>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row>
    <row r="99" spans="1:64" ht="20.100000000000001" hidden="1" customHeight="1">
      <c r="A99" s="444" t="s">
        <v>168</v>
      </c>
      <c r="B99" s="445"/>
      <c r="C99" s="446">
        <f>Eingabetabelle!D35</f>
        <v>0</v>
      </c>
      <c r="D99" s="446"/>
      <c r="E99" s="446"/>
      <c r="F99" s="446"/>
      <c r="G99" s="446"/>
      <c r="H99" s="446"/>
      <c r="I99" s="44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row>
    <row r="100" spans="1:64" ht="16.5" hidden="1">
      <c r="A100" s="448"/>
      <c r="B100" s="449"/>
      <c r="C100" s="450">
        <f t="shared" ref="C100:I100" si="29">IF(AND(C18&gt;14,C99="ja"),C33*17/100,0)</f>
        <v>0</v>
      </c>
      <c r="D100" s="450">
        <f t="shared" si="29"/>
        <v>0</v>
      </c>
      <c r="E100" s="450">
        <f t="shared" si="29"/>
        <v>0</v>
      </c>
      <c r="F100" s="450">
        <f t="shared" si="29"/>
        <v>0</v>
      </c>
      <c r="G100" s="450">
        <f t="shared" si="29"/>
        <v>0</v>
      </c>
      <c r="H100" s="450">
        <f t="shared" si="29"/>
        <v>0</v>
      </c>
      <c r="I100" s="451">
        <f t="shared" si="29"/>
        <v>0</v>
      </c>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row>
    <row r="101" spans="1:64" ht="26.25" hidden="1" customHeight="1">
      <c r="A101" s="452" t="s">
        <v>169</v>
      </c>
      <c r="B101" s="453" t="s">
        <v>141</v>
      </c>
      <c r="C101" s="454"/>
      <c r="D101" s="356"/>
      <c r="E101" s="356"/>
      <c r="F101" s="356"/>
      <c r="G101" s="356"/>
      <c r="H101" s="356"/>
      <c r="I101" s="455"/>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row>
    <row r="102" spans="1:64" ht="20.100000000000001" hidden="1" customHeight="1">
      <c r="A102" s="456" t="s">
        <v>170</v>
      </c>
      <c r="B102" s="457">
        <f>Eingabetabelle!C48</f>
        <v>0</v>
      </c>
      <c r="C102" s="458">
        <f>B102/C5*B6</f>
        <v>0</v>
      </c>
      <c r="D102" s="394"/>
      <c r="E102" s="394"/>
      <c r="F102" s="394"/>
      <c r="G102" s="394"/>
      <c r="H102" s="394"/>
      <c r="I102" s="459"/>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row>
    <row r="103" spans="1:64" ht="20.100000000000001" hidden="1" customHeight="1">
      <c r="A103" s="456" t="s">
        <v>171</v>
      </c>
      <c r="B103" s="457"/>
      <c r="C103" s="458">
        <f>B103/C5*B6</f>
        <v>0</v>
      </c>
      <c r="D103" s="394"/>
      <c r="E103" s="394"/>
      <c r="F103" s="394"/>
      <c r="G103" s="394"/>
      <c r="H103" s="394"/>
      <c r="I103" s="459"/>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row>
    <row r="104" spans="1:64" ht="20.100000000000001" hidden="1" customHeight="1">
      <c r="A104" s="460">
        <f>IF(B102&gt;0,"./. Kostenanteil für",0)</f>
        <v>0</v>
      </c>
      <c r="B104" s="433"/>
      <c r="C104" s="458">
        <f>IF(B102+B105+B106+B115&gt;0,B104/C5*B6,0)</f>
        <v>0</v>
      </c>
      <c r="D104" s="394"/>
      <c r="E104" s="394"/>
      <c r="F104" s="394"/>
      <c r="G104" s="394"/>
      <c r="H104" s="394"/>
      <c r="I104" s="459"/>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c r="BA104" s="287"/>
      <c r="BB104" s="287"/>
      <c r="BC104" s="287"/>
      <c r="BD104" s="287"/>
      <c r="BE104" s="287"/>
      <c r="BF104" s="287"/>
      <c r="BG104" s="287"/>
      <c r="BH104" s="287"/>
      <c r="BI104" s="287"/>
      <c r="BJ104" s="287"/>
      <c r="BK104" s="287"/>
      <c r="BL104" s="287"/>
    </row>
    <row r="105" spans="1:64" ht="20.100000000000001" hidden="1" customHeight="1">
      <c r="A105" s="456" t="s">
        <v>54</v>
      </c>
      <c r="B105" s="457">
        <f>Eingabetabelle!C50</f>
        <v>0</v>
      </c>
      <c r="C105" s="458">
        <f>B105/C5*B6</f>
        <v>0</v>
      </c>
      <c r="D105" s="394"/>
      <c r="E105" s="394"/>
      <c r="F105" s="394"/>
      <c r="G105" s="394"/>
      <c r="H105" s="394"/>
      <c r="I105" s="459"/>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row>
    <row r="106" spans="1:64" ht="20.100000000000001" hidden="1" customHeight="1">
      <c r="A106" s="460">
        <f>IF(B105&gt;0,"weitere Nebenkosten",0)</f>
        <v>0</v>
      </c>
      <c r="B106" s="433"/>
      <c r="C106" s="458">
        <f>B106/C5*B6</f>
        <v>0</v>
      </c>
      <c r="D106" s="394"/>
      <c r="E106" s="394"/>
      <c r="F106" s="394"/>
      <c r="G106" s="394"/>
      <c r="H106" s="394"/>
      <c r="I106" s="459"/>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287"/>
      <c r="BF106" s="287"/>
      <c r="BG106" s="287"/>
      <c r="BH106" s="287"/>
      <c r="BI106" s="287"/>
      <c r="BJ106" s="287"/>
      <c r="BK106" s="287"/>
      <c r="BL106" s="287"/>
    </row>
    <row r="107" spans="1:64" ht="20.100000000000001" hidden="1" customHeight="1">
      <c r="A107" s="460">
        <f>IF(B105&gt;0,"./. Kostenanteil für Haushaltsstrom",0)</f>
        <v>0</v>
      </c>
      <c r="B107" s="433"/>
      <c r="C107" s="458">
        <f>IF(B102+B105+B106+B115&gt;0,B107/C5*B6,0)</f>
        <v>0</v>
      </c>
      <c r="D107" s="393"/>
      <c r="E107" s="393"/>
      <c r="F107" s="393"/>
      <c r="G107" s="393"/>
      <c r="H107" s="393"/>
      <c r="I107" s="461"/>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287"/>
      <c r="BJ107" s="287"/>
      <c r="BK107" s="287"/>
      <c r="BL107" s="287"/>
    </row>
    <row r="108" spans="1:64" ht="16.5" hidden="1">
      <c r="A108" s="214"/>
      <c r="B108" s="433"/>
      <c r="C108" s="462">
        <f>C107/B6</f>
        <v>0</v>
      </c>
      <c r="D108" s="399">
        <f>IF(D21&gt;0,C107/B6,0)</f>
        <v>0</v>
      </c>
      <c r="E108" s="463">
        <f>IF(E33&gt;0,C107/B6,0)</f>
        <v>0</v>
      </c>
      <c r="F108" s="463">
        <f>IF(F33&gt;0,C107/B6,0)</f>
        <v>0</v>
      </c>
      <c r="G108" s="463">
        <f>IF(G33&gt;0,C107/B6,0)</f>
        <v>0</v>
      </c>
      <c r="H108" s="463">
        <f>IF(H33&gt;0,C107/B6,0)</f>
        <v>0</v>
      </c>
      <c r="I108" s="395">
        <f>IF(I33&gt;0,C107/B6,0)</f>
        <v>0</v>
      </c>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287"/>
      <c r="BJ108" s="287"/>
      <c r="BK108" s="287"/>
      <c r="BL108" s="287"/>
    </row>
    <row r="109" spans="1:64" ht="20.100000000000001" hidden="1" customHeight="1">
      <c r="A109" s="464" t="s">
        <v>172</v>
      </c>
      <c r="B109" s="465"/>
      <c r="C109" s="466"/>
      <c r="D109" s="467"/>
      <c r="E109" s="468"/>
      <c r="F109" s="468"/>
      <c r="G109" s="468"/>
      <c r="H109" s="468"/>
      <c r="I109" s="469"/>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287"/>
      <c r="BJ109" s="287"/>
      <c r="BK109" s="287"/>
      <c r="BL109" s="287"/>
    </row>
    <row r="110" spans="1:64" ht="16.5" hidden="1">
      <c r="A110" s="214"/>
      <c r="B110" s="378"/>
      <c r="C110" s="440">
        <f>IF(C24&lt;C23,C33*0.07772,0)</f>
        <v>0</v>
      </c>
      <c r="D110" s="470">
        <f>IF(AND(D22=17,D18=18),D25*0.0775+D26*0.046,0)</f>
        <v>0</v>
      </c>
      <c r="E110" s="471">
        <f>IF(E33=0,0,IF(AND(E16=0,E33&lt;224),E33*0.0247,IF(AND(E18=6,E16=5),E25*0.0405+E26*0.0247,IF(AND(E18=14,E16=13),E25*0.046+E26*0.0405,IF(AND(E18=18,E16=17),E25*0.0772+E26*0.046,IF(E18&gt;24,E33*0.0772,0))))))</f>
        <v>0</v>
      </c>
      <c r="F110" s="471">
        <f>IF(F33=0,0,IF(AND(F16=0,F33&lt;224),F33*0.0247,IF(AND(F18=6,F16=5),F25*0.0405+F26*0.0247,IF(AND(F18=14,F16=13),F25*0.046+F26*0.0405,IF(AND(F18=18,F16=17),F25*0.0772+F26*0.046,IF(F18&gt;24,F33*0.0772,0))))))</f>
        <v>0</v>
      </c>
      <c r="G110" s="471">
        <f>IF(G33=0,0,IF(AND(G16=0,G33&lt;224),G33*0.0247,IF(AND(G18=6,G16=5),G25*0.0405+G26*0.0247,IF(AND(G18=14,G16=13),G25*0.046+G26*0.0405,IF(AND(G18=18,G16=17),G25*0.0772+G26*0.046,IF(G18&gt;24,G33*0.0772,0))))))</f>
        <v>0</v>
      </c>
      <c r="H110" s="471">
        <f>IF(H33=0,0,IF(AND(H16=0,H33&lt;224),H33*0.0247,IF(AND(H18=6,H16=5),H25*0.0405+H26*0.0247,IF(AND(H18=14,H16=13),H25*0.046+H26*0.0405,IF(AND(H18=18,H16=17),H25*0.0772+H26*0.046,IF(H18&gt;24,H33*0.0772,0))))))</f>
        <v>0</v>
      </c>
      <c r="I110" s="472">
        <f>IF(I33=0,0,IF(AND(I16=0,I33&lt;224),I33*0.0247,IF(AND(I18=6,I16=5),I25*0.0405+I26*0.0247,IF(AND(I18=14,I16=13),I25*0.046+I26*0.0405,IF(AND(I18=18,I16=17),I25*0.0772+I26*0.046,IF(I18&gt;24,I33*0.0772,0))))))</f>
        <v>0</v>
      </c>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c r="BC110" s="287"/>
      <c r="BD110" s="287"/>
      <c r="BE110" s="287"/>
      <c r="BF110" s="287"/>
      <c r="BG110" s="287"/>
      <c r="BH110" s="287"/>
      <c r="BI110" s="287"/>
      <c r="BJ110" s="287"/>
      <c r="BK110" s="287"/>
      <c r="BL110" s="287"/>
    </row>
    <row r="111" spans="1:64" ht="16.5" hidden="1">
      <c r="A111" s="214"/>
      <c r="B111" s="378"/>
      <c r="C111" s="473">
        <f>VLOOKUP(C23,Bedarfssätze!B70:C87,2)</f>
        <v>31.01</v>
      </c>
      <c r="D111" s="474" t="e">
        <f>VLOOKUP(D23,Bedarfssätze!B70:C87,2)</f>
        <v>#N/A</v>
      </c>
      <c r="E111" s="475" t="e">
        <f>VLOOKUP(E23,Bedarfssätze!B70:C87,2)</f>
        <v>#N/A</v>
      </c>
      <c r="F111" s="475" t="e">
        <f>VLOOKUP(F23,Bedarfssätze!B70:C87,2)</f>
        <v>#N/A</v>
      </c>
      <c r="G111" s="475" t="e">
        <f>VLOOKUP(G23,Bedarfssätze!B70:C87,2)</f>
        <v>#N/A</v>
      </c>
      <c r="H111" s="475" t="e">
        <f>VLOOKUP(H23,Bedarfssätze!B70:C87,2)</f>
        <v>#N/A</v>
      </c>
      <c r="I111" s="476" t="e">
        <f>VLOOKUP(I23,Bedarfssätze!B70:C87,2)</f>
        <v>#N/A</v>
      </c>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row>
    <row r="112" spans="1:64" ht="16.5" hidden="1">
      <c r="A112" s="214"/>
      <c r="B112" s="378"/>
      <c r="C112" s="440">
        <f>IF(AND(D110=0,C111&gt;C110),C111,C110)</f>
        <v>31.01</v>
      </c>
      <c r="D112" s="470" t="e">
        <f t="shared" ref="D112:I112" si="30">IF(D110&gt;0,D110,D111)</f>
        <v>#N/A</v>
      </c>
      <c r="E112" s="471" t="e">
        <f t="shared" si="30"/>
        <v>#N/A</v>
      </c>
      <c r="F112" s="471" t="e">
        <f t="shared" si="30"/>
        <v>#N/A</v>
      </c>
      <c r="G112" s="471" t="e">
        <f t="shared" si="30"/>
        <v>#N/A</v>
      </c>
      <c r="H112" s="471" t="e">
        <f t="shared" si="30"/>
        <v>#N/A</v>
      </c>
      <c r="I112" s="472" t="e">
        <f t="shared" si="30"/>
        <v>#N/A</v>
      </c>
    </row>
    <row r="113" spans="1:64" ht="15.75" hidden="1">
      <c r="A113" s="214"/>
      <c r="B113" s="378"/>
      <c r="C113" s="338">
        <f>IF(AND(B102+B105+B106+B115&gt;0,B109="ja"),C112,0)</f>
        <v>0</v>
      </c>
      <c r="D113" s="370">
        <f>IF(AND(B102+B105+B106+B115&gt;0,D21&gt;0,B109="ja"),D112,0)</f>
        <v>0</v>
      </c>
      <c r="E113" s="371">
        <f>IF(AND($B$102+$B$105+$B$106+$B$115&gt;0,E33&gt;0,$B$109="ja"),E112,0)</f>
        <v>0</v>
      </c>
      <c r="F113" s="371">
        <f>IF(AND($B$102+$B$105+$B$106+$B$115&gt;0,F33&gt;0,$B$109="ja"),F112,0)</f>
        <v>0</v>
      </c>
      <c r="G113" s="371">
        <f>IF(AND($B$102+$B$105+$B$106+$B$115&gt;0,G33&gt;0,$B$109="ja"),G112,0)</f>
        <v>0</v>
      </c>
      <c r="H113" s="371">
        <f>IF(AND($B$102+$B$105+$B$106+$B$115&gt;0,H33&gt;0,$B$109="ja"),H112,0)</f>
        <v>0</v>
      </c>
      <c r="I113" s="372">
        <f>IF(AND($B$102+$B$105+$B$106+$B$115&gt;0,I33&gt;0,$B$109="ja"),I112,0)</f>
        <v>0</v>
      </c>
    </row>
    <row r="114" spans="1:64" ht="15.75" hidden="1">
      <c r="A114" s="214"/>
      <c r="B114" s="378"/>
      <c r="C114" s="477">
        <f t="shared" ref="C114:I114" si="31">C108+C113</f>
        <v>0</v>
      </c>
      <c r="D114" s="478">
        <f t="shared" si="31"/>
        <v>0</v>
      </c>
      <c r="E114" s="479">
        <f t="shared" si="31"/>
        <v>0</v>
      </c>
      <c r="F114" s="479">
        <f t="shared" si="31"/>
        <v>0</v>
      </c>
      <c r="G114" s="479">
        <f t="shared" si="31"/>
        <v>0</v>
      </c>
      <c r="H114" s="479">
        <f t="shared" si="31"/>
        <v>0</v>
      </c>
      <c r="I114" s="480">
        <f t="shared" si="31"/>
        <v>0</v>
      </c>
    </row>
    <row r="115" spans="1:64" ht="20.100000000000001" hidden="1" customHeight="1">
      <c r="A115" s="481" t="s">
        <v>55</v>
      </c>
      <c r="B115" s="482">
        <f>IF(B95="JA",Eingabetabelle!C52,Eingabetabelle!C52+Eingabetabelle!C55)</f>
        <v>0</v>
      </c>
      <c r="C115" s="483">
        <f>B115/C5*B6</f>
        <v>0</v>
      </c>
      <c r="D115" s="404"/>
      <c r="E115" s="404"/>
      <c r="F115" s="404"/>
      <c r="G115" s="404"/>
      <c r="H115" s="404"/>
      <c r="I115" s="484"/>
    </row>
    <row r="116" spans="1:64" ht="18" hidden="1">
      <c r="A116" s="352" t="s">
        <v>173</v>
      </c>
      <c r="B116" s="353" t="s">
        <v>141</v>
      </c>
      <c r="C116" s="354"/>
      <c r="D116" s="355"/>
      <c r="E116" s="355"/>
      <c r="F116" s="355"/>
      <c r="G116" s="355"/>
      <c r="H116" s="355"/>
      <c r="I116" s="485"/>
    </row>
    <row r="117" spans="1:64" ht="20.100000000000001" hidden="1" customHeight="1">
      <c r="A117" s="481" t="s">
        <v>174</v>
      </c>
      <c r="B117" s="445"/>
      <c r="C117" s="486">
        <f>IF(Eingabetabelle!D71="Ja",Eingabetabelle!D70+Eingabetabelle!D72,0)</f>
        <v>0</v>
      </c>
      <c r="D117" s="486">
        <f>IF(Eingabetabelle!E71="Ja",Eingabetabelle!E70+Eingabetabelle!E72,0)</f>
        <v>0</v>
      </c>
      <c r="E117" s="486">
        <f>IF(Eingabetabelle!F71="Ja",Eingabetabelle!F70+Eingabetabelle!F72,0)</f>
        <v>0</v>
      </c>
      <c r="F117" s="486"/>
      <c r="G117" s="486"/>
      <c r="H117" s="486"/>
      <c r="I117" s="486"/>
    </row>
    <row r="118" spans="1:64" hidden="1">
      <c r="C118" s="487"/>
      <c r="D118" s="487"/>
      <c r="E118" s="487"/>
      <c r="F118" s="487"/>
      <c r="G118" s="487"/>
      <c r="H118" s="487"/>
    </row>
    <row r="119" spans="1:64" ht="20.25" hidden="1">
      <c r="A119" s="1973" t="s">
        <v>175</v>
      </c>
      <c r="B119" s="1973"/>
      <c r="C119" s="1973"/>
      <c r="D119" s="1973"/>
      <c r="E119" s="1973"/>
      <c r="F119" s="1973"/>
      <c r="G119" s="1973"/>
      <c r="H119" s="1973"/>
      <c r="I119" s="1973"/>
    </row>
    <row r="120" spans="1:64" ht="21.95" hidden="1" customHeight="1">
      <c r="A120" s="488" t="s">
        <v>176</v>
      </c>
      <c r="B120" s="489" t="s">
        <v>141</v>
      </c>
      <c r="C120" s="489" t="str">
        <f>C4</f>
        <v>Antragsteller</v>
      </c>
      <c r="D120" s="489" t="str">
        <f>D4</f>
        <v>Partner(in)</v>
      </c>
      <c r="E120" s="489" t="str">
        <f>E4</f>
        <v>Kind 1</v>
      </c>
      <c r="F120" s="489" t="s">
        <v>145</v>
      </c>
      <c r="G120" s="489" t="s">
        <v>146</v>
      </c>
      <c r="H120" s="489" t="s">
        <v>147</v>
      </c>
      <c r="I120" s="490" t="s">
        <v>148</v>
      </c>
    </row>
    <row r="121" spans="1:64" ht="20.100000000000001" hidden="1" customHeight="1">
      <c r="A121" s="491" t="s">
        <v>177</v>
      </c>
      <c r="B121" s="492"/>
      <c r="C121" s="493"/>
      <c r="D121" s="493"/>
      <c r="E121" s="493"/>
      <c r="F121" s="493"/>
      <c r="G121" s="493"/>
      <c r="H121" s="493"/>
      <c r="I121" s="494"/>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row>
    <row r="122" spans="1:64" ht="20.100000000000001" hidden="1" customHeight="1">
      <c r="A122" s="495" t="s">
        <v>178</v>
      </c>
      <c r="B122" s="496"/>
      <c r="C122" s="497">
        <f>Eingabetabelle!D75</f>
        <v>21</v>
      </c>
      <c r="D122" s="497">
        <f>Eingabetabelle!E75</f>
        <v>21</v>
      </c>
      <c r="E122" s="497">
        <f>Eingabetabelle!F75</f>
        <v>21</v>
      </c>
      <c r="F122" s="497">
        <f>Eingabetabelle!G75</f>
        <v>21</v>
      </c>
      <c r="G122" s="497">
        <f>Eingabetabelle!H75</f>
        <v>21</v>
      </c>
      <c r="H122" s="497">
        <f>Eingabetabelle!I75</f>
        <v>21</v>
      </c>
      <c r="I122" s="497">
        <f>Eingabetabelle!J75</f>
        <v>21</v>
      </c>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row>
    <row r="123" spans="1:64" ht="20.100000000000001" hidden="1" customHeight="1">
      <c r="A123" s="498" t="s">
        <v>179</v>
      </c>
      <c r="B123" s="359"/>
      <c r="C123" s="499">
        <f>Eingabetabelle!D76</f>
        <v>0</v>
      </c>
      <c r="D123" s="499">
        <f>Eingabetabelle!E76</f>
        <v>0</v>
      </c>
      <c r="E123" s="499">
        <f>Eingabetabelle!F76</f>
        <v>0</v>
      </c>
      <c r="F123" s="499">
        <f>Eingabetabelle!G76</f>
        <v>0</v>
      </c>
      <c r="G123" s="499">
        <f>Eingabetabelle!H76</f>
        <v>0</v>
      </c>
      <c r="H123" s="499">
        <f>Eingabetabelle!I76</f>
        <v>0</v>
      </c>
      <c r="I123" s="499">
        <f>Eingabetabelle!J76</f>
        <v>0</v>
      </c>
    </row>
    <row r="124" spans="1:64" ht="20.100000000000001" hidden="1" customHeight="1">
      <c r="A124" s="500" t="s">
        <v>180</v>
      </c>
      <c r="B124" s="359"/>
      <c r="C124" s="501">
        <f t="shared" ref="C124:I124" si="32">C123*6</f>
        <v>0</v>
      </c>
      <c r="D124" s="501">
        <f t="shared" si="32"/>
        <v>0</v>
      </c>
      <c r="E124" s="501">
        <f t="shared" si="32"/>
        <v>0</v>
      </c>
      <c r="F124" s="501">
        <f t="shared" si="32"/>
        <v>0</v>
      </c>
      <c r="G124" s="501">
        <f t="shared" si="32"/>
        <v>0</v>
      </c>
      <c r="H124" s="501">
        <f t="shared" si="32"/>
        <v>0</v>
      </c>
      <c r="I124" s="502">
        <f t="shared" si="32"/>
        <v>0</v>
      </c>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row>
    <row r="125" spans="1:64" ht="20.100000000000001" hidden="1" customHeight="1">
      <c r="A125" s="503" t="s">
        <v>74</v>
      </c>
      <c r="B125" s="445"/>
      <c r="C125" s="504">
        <f>Eingabetabelle!D77</f>
        <v>0</v>
      </c>
      <c r="D125" s="504">
        <f>Eingabetabelle!E77</f>
        <v>0</v>
      </c>
      <c r="E125" s="504">
        <f>Eingabetabelle!F77</f>
        <v>0</v>
      </c>
      <c r="F125" s="504">
        <f>Eingabetabelle!G77</f>
        <v>0</v>
      </c>
      <c r="G125" s="504">
        <f>Eingabetabelle!H77</f>
        <v>0</v>
      </c>
      <c r="H125" s="504">
        <f>Eingabetabelle!I77</f>
        <v>0</v>
      </c>
      <c r="I125" s="504">
        <f>Eingabetabelle!J77</f>
        <v>0</v>
      </c>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287"/>
      <c r="BJ125" s="287"/>
      <c r="BK125" s="287"/>
      <c r="BL125" s="287"/>
    </row>
    <row r="126" spans="1:64" ht="20.100000000000001" hidden="1" customHeight="1">
      <c r="A126" s="505" t="s">
        <v>181</v>
      </c>
      <c r="B126" s="506"/>
      <c r="C126" s="507">
        <f t="shared" ref="C126:I126" si="33">C122*C125*0.2</f>
        <v>0</v>
      </c>
      <c r="D126" s="507">
        <f t="shared" si="33"/>
        <v>0</v>
      </c>
      <c r="E126" s="507">
        <f t="shared" si="33"/>
        <v>0</v>
      </c>
      <c r="F126" s="507">
        <f t="shared" si="33"/>
        <v>0</v>
      </c>
      <c r="G126" s="507">
        <f t="shared" si="33"/>
        <v>0</v>
      </c>
      <c r="H126" s="507">
        <f t="shared" si="33"/>
        <v>0</v>
      </c>
      <c r="I126" s="508">
        <f t="shared" si="33"/>
        <v>0</v>
      </c>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row>
    <row r="127" spans="1:64" ht="20.100000000000001" hidden="1" customHeight="1">
      <c r="A127" s="405"/>
      <c r="B127" s="340"/>
      <c r="C127" s="509">
        <f t="shared" ref="C127:I127" si="34">MAX(C126,C142)</f>
        <v>0</v>
      </c>
      <c r="D127" s="509">
        <f t="shared" si="34"/>
        <v>0</v>
      </c>
      <c r="E127" s="509">
        <f t="shared" si="34"/>
        <v>0</v>
      </c>
      <c r="F127" s="509">
        <f t="shared" si="34"/>
        <v>0</v>
      </c>
      <c r="G127" s="509">
        <f t="shared" si="34"/>
        <v>0</v>
      </c>
      <c r="H127" s="509">
        <f t="shared" si="34"/>
        <v>0</v>
      </c>
      <c r="I127" s="510">
        <f t="shared" si="34"/>
        <v>0</v>
      </c>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row>
    <row r="128" spans="1:64" ht="20.100000000000001" hidden="1" customHeight="1">
      <c r="A128" s="511" t="s">
        <v>182</v>
      </c>
      <c r="B128" s="512">
        <f>SUM(C128:I128)</f>
        <v>0</v>
      </c>
      <c r="C128" s="513">
        <f>Eingabetabelle!D63</f>
        <v>0</v>
      </c>
      <c r="D128" s="513">
        <f>Eingabetabelle!E63</f>
        <v>0</v>
      </c>
      <c r="E128" s="513">
        <f>Eingabetabelle!F63</f>
        <v>0</v>
      </c>
      <c r="F128" s="513">
        <f>Eingabetabelle!G63</f>
        <v>0</v>
      </c>
      <c r="G128" s="513">
        <f>Eingabetabelle!H63</f>
        <v>0</v>
      </c>
      <c r="H128" s="513">
        <f>Eingabetabelle!I63</f>
        <v>0</v>
      </c>
      <c r="I128" s="513">
        <f>Eingabetabelle!J63</f>
        <v>0</v>
      </c>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row>
    <row r="129" spans="1:64" ht="15" hidden="1" customHeight="1">
      <c r="A129" s="514">
        <f>IF(B128&gt;0,"vom Arbeitgeber bereitgestellte Verpflegung",0)</f>
        <v>0</v>
      </c>
      <c r="B129" s="359"/>
      <c r="C129" s="515"/>
      <c r="D129" s="515"/>
      <c r="E129" s="515"/>
      <c r="F129" s="515"/>
      <c r="G129" s="515"/>
      <c r="H129" s="515"/>
      <c r="I129" s="516"/>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87"/>
      <c r="BH129" s="287"/>
      <c r="BI129" s="287"/>
      <c r="BJ129" s="287"/>
      <c r="BK129" s="287"/>
      <c r="BL129" s="287"/>
    </row>
    <row r="130" spans="1:64" ht="15" hidden="1" customHeight="1">
      <c r="A130" s="517">
        <f>IF(B130&gt;0,"Wert Verpflegung",0)</f>
        <v>0</v>
      </c>
      <c r="B130" s="518">
        <f>SUM(C130:I130)</f>
        <v>0</v>
      </c>
      <c r="C130" s="519">
        <f t="shared" ref="C130:I130" si="35">IF(C129="vollverpflegung",C33*C122*0.01,IF(C129="frühstück",C33*C122*0.002,IF(C129="mittagessen",C33*C122*0.004,IF(C129="abendessen",C33*C122*0.004,0))))</f>
        <v>0</v>
      </c>
      <c r="D130" s="519">
        <f t="shared" si="35"/>
        <v>0</v>
      </c>
      <c r="E130" s="519">
        <f t="shared" si="35"/>
        <v>0</v>
      </c>
      <c r="F130" s="519">
        <f t="shared" si="35"/>
        <v>0</v>
      </c>
      <c r="G130" s="519">
        <f t="shared" si="35"/>
        <v>0</v>
      </c>
      <c r="H130" s="519">
        <f t="shared" si="35"/>
        <v>0</v>
      </c>
      <c r="I130" s="520">
        <f t="shared" si="35"/>
        <v>0</v>
      </c>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c r="BB130" s="287"/>
      <c r="BC130" s="287"/>
      <c r="BD130" s="287"/>
      <c r="BE130" s="287"/>
      <c r="BF130" s="287"/>
      <c r="BG130" s="287"/>
      <c r="BH130" s="287"/>
      <c r="BI130" s="287"/>
      <c r="BJ130" s="287"/>
      <c r="BK130" s="287"/>
      <c r="BL130" s="287"/>
    </row>
    <row r="131" spans="1:64" ht="15.75" hidden="1">
      <c r="A131" s="521" t="s">
        <v>183</v>
      </c>
      <c r="B131" s="522"/>
      <c r="C131" s="522">
        <f t="shared" ref="C131:I131" si="36">C128+C130</f>
        <v>0</v>
      </c>
      <c r="D131" s="522">
        <f t="shared" si="36"/>
        <v>0</v>
      </c>
      <c r="E131" s="522">
        <f t="shared" si="36"/>
        <v>0</v>
      </c>
      <c r="F131" s="522">
        <f t="shared" si="36"/>
        <v>0</v>
      </c>
      <c r="G131" s="522">
        <f t="shared" si="36"/>
        <v>0</v>
      </c>
      <c r="H131" s="522">
        <f t="shared" si="36"/>
        <v>0</v>
      </c>
      <c r="I131" s="523">
        <f t="shared" si="36"/>
        <v>0</v>
      </c>
    </row>
    <row r="132" spans="1:64" ht="20.100000000000001" hidden="1" customHeight="1">
      <c r="A132" s="524">
        <f>IF(B128&gt;0,"Nettolohn",0)</f>
        <v>0</v>
      </c>
      <c r="B132" s="359"/>
      <c r="C132" s="433">
        <f>Eingabetabelle!D64</f>
        <v>0</v>
      </c>
      <c r="D132" s="433">
        <f>Eingabetabelle!E64</f>
        <v>0</v>
      </c>
      <c r="E132" s="433">
        <f>Eingabetabelle!F64</f>
        <v>0</v>
      </c>
      <c r="F132" s="433">
        <f>Eingabetabelle!G64</f>
        <v>0</v>
      </c>
      <c r="G132" s="433">
        <f>Eingabetabelle!H64</f>
        <v>0</v>
      </c>
      <c r="H132" s="433">
        <f>Eingabetabelle!I64</f>
        <v>0</v>
      </c>
      <c r="I132" s="433">
        <f>Eingabetabelle!J64</f>
        <v>0</v>
      </c>
    </row>
    <row r="133" spans="1:64" ht="16.5" hidden="1" customHeight="1">
      <c r="A133" s="525" t="s">
        <v>184</v>
      </c>
      <c r="B133" s="526"/>
      <c r="C133" s="527">
        <f t="shared" ref="C133:I133" si="37">C130+C132</f>
        <v>0</v>
      </c>
      <c r="D133" s="527">
        <f t="shared" si="37"/>
        <v>0</v>
      </c>
      <c r="E133" s="527">
        <f t="shared" si="37"/>
        <v>0</v>
      </c>
      <c r="F133" s="527">
        <f t="shared" si="37"/>
        <v>0</v>
      </c>
      <c r="G133" s="527">
        <f t="shared" si="37"/>
        <v>0</v>
      </c>
      <c r="H133" s="527">
        <f t="shared" si="37"/>
        <v>0</v>
      </c>
      <c r="I133" s="528">
        <f t="shared" si="37"/>
        <v>0</v>
      </c>
    </row>
    <row r="134" spans="1:64" ht="16.5" hidden="1" customHeight="1">
      <c r="A134" s="495" t="s">
        <v>185</v>
      </c>
      <c r="B134" s="359"/>
      <c r="C134" s="457"/>
      <c r="D134" s="457"/>
      <c r="E134" s="457"/>
      <c r="F134" s="457"/>
      <c r="G134" s="457"/>
      <c r="H134" s="457"/>
      <c r="I134" s="529"/>
    </row>
    <row r="135" spans="1:64" ht="17.25" hidden="1" customHeight="1">
      <c r="A135" s="530" t="s">
        <v>186</v>
      </c>
      <c r="B135" s="531"/>
      <c r="C135" s="482"/>
      <c r="D135" s="482"/>
      <c r="E135" s="482"/>
      <c r="F135" s="482"/>
      <c r="G135" s="482"/>
      <c r="H135" s="482"/>
      <c r="I135" s="532"/>
    </row>
    <row r="136" spans="1:64" ht="20.100000000000001" hidden="1" customHeight="1">
      <c r="A136" s="533" t="s">
        <v>187</v>
      </c>
      <c r="B136" s="534">
        <f>SUM(C136:I136)</f>
        <v>0</v>
      </c>
      <c r="C136" s="535"/>
      <c r="D136" s="535"/>
      <c r="E136" s="535"/>
      <c r="F136" s="535"/>
      <c r="G136" s="535"/>
      <c r="H136" s="535"/>
      <c r="I136" s="536"/>
    </row>
    <row r="137" spans="1:64" ht="20.100000000000001" hidden="1" customHeight="1">
      <c r="A137" s="537">
        <f>IF(B136&gt;0,"Ausbildungsvergütung (netto)",0)</f>
        <v>0</v>
      </c>
      <c r="B137" s="445"/>
      <c r="C137" s="538">
        <f t="shared" ref="C137:I137" si="38">C136</f>
        <v>0</v>
      </c>
      <c r="D137" s="538">
        <f t="shared" si="38"/>
        <v>0</v>
      </c>
      <c r="E137" s="538">
        <f t="shared" si="38"/>
        <v>0</v>
      </c>
      <c r="F137" s="538">
        <f t="shared" si="38"/>
        <v>0</v>
      </c>
      <c r="G137" s="538">
        <f t="shared" si="38"/>
        <v>0</v>
      </c>
      <c r="H137" s="538">
        <f t="shared" si="38"/>
        <v>0</v>
      </c>
      <c r="I137" s="539">
        <f t="shared" si="38"/>
        <v>0</v>
      </c>
    </row>
    <row r="138" spans="1:64" ht="20.100000000000001" hidden="1" customHeight="1">
      <c r="A138" s="540" t="s">
        <v>188</v>
      </c>
      <c r="B138" s="541"/>
      <c r="C138" s="513">
        <f>Eingabetabelle!D89</f>
        <v>0</v>
      </c>
      <c r="D138" s="513">
        <f>Eingabetabelle!E89</f>
        <v>0</v>
      </c>
      <c r="E138" s="513">
        <f>Eingabetabelle!F89</f>
        <v>0</v>
      </c>
      <c r="F138" s="513">
        <f>Eingabetabelle!G89</f>
        <v>0</v>
      </c>
      <c r="G138" s="513">
        <f>Eingabetabelle!H89</f>
        <v>0</v>
      </c>
      <c r="H138" s="513">
        <f>Eingabetabelle!I89</f>
        <v>0</v>
      </c>
      <c r="I138" s="513">
        <f>Eingabetabelle!J89</f>
        <v>0</v>
      </c>
    </row>
    <row r="139" spans="1:64" ht="20.100000000000001" hidden="1" customHeight="1">
      <c r="A139" s="464" t="s">
        <v>189</v>
      </c>
      <c r="B139" s="359">
        <f>SUM(C139:E139)</f>
        <v>0</v>
      </c>
      <c r="C139" s="433">
        <f>Eingabetabelle!D65</f>
        <v>0</v>
      </c>
      <c r="D139" s="433">
        <f>Eingabetabelle!E65</f>
        <v>0</v>
      </c>
      <c r="E139" s="433">
        <f>Eingabetabelle!F65</f>
        <v>0</v>
      </c>
      <c r="F139" s="433"/>
      <c r="G139" s="433"/>
      <c r="H139" s="433"/>
      <c r="I139" s="443"/>
    </row>
    <row r="140" spans="1:64" ht="20.100000000000001" hidden="1" customHeight="1">
      <c r="A140" s="214" t="s">
        <v>190</v>
      </c>
      <c r="B140" s="359"/>
      <c r="C140" s="535">
        <f t="shared" ref="C140:I140" si="39">C131+C136+C139+C170</f>
        <v>0</v>
      </c>
      <c r="D140" s="535">
        <f t="shared" si="39"/>
        <v>0</v>
      </c>
      <c r="E140" s="535">
        <f t="shared" si="39"/>
        <v>0</v>
      </c>
      <c r="F140" s="535">
        <f t="shared" si="39"/>
        <v>0</v>
      </c>
      <c r="G140" s="535">
        <f t="shared" si="39"/>
        <v>0</v>
      </c>
      <c r="H140" s="535">
        <f t="shared" si="39"/>
        <v>0</v>
      </c>
      <c r="I140" s="535">
        <f t="shared" si="39"/>
        <v>0</v>
      </c>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row>
    <row r="141" spans="1:64" ht="20.100000000000001" hidden="1" customHeight="1">
      <c r="A141" s="214" t="s">
        <v>191</v>
      </c>
      <c r="B141" s="359"/>
      <c r="C141" s="507">
        <f t="shared" ref="C141:I141" si="40">C133+C137+C138+C139+C170</f>
        <v>0</v>
      </c>
      <c r="D141" s="507">
        <f t="shared" si="40"/>
        <v>0</v>
      </c>
      <c r="E141" s="507">
        <f t="shared" si="40"/>
        <v>0</v>
      </c>
      <c r="F141" s="507">
        <f t="shared" si="40"/>
        <v>0</v>
      </c>
      <c r="G141" s="507">
        <f t="shared" si="40"/>
        <v>0</v>
      </c>
      <c r="H141" s="507">
        <f t="shared" si="40"/>
        <v>0</v>
      </c>
      <c r="I141" s="507">
        <f t="shared" si="40"/>
        <v>0</v>
      </c>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c r="BA141" s="287"/>
      <c r="BB141" s="287"/>
      <c r="BC141" s="287"/>
      <c r="BD141" s="287"/>
      <c r="BE141" s="287"/>
      <c r="BF141" s="287"/>
      <c r="BG141" s="287"/>
      <c r="BH141" s="287"/>
      <c r="BI141" s="287"/>
      <c r="BJ141" s="287"/>
      <c r="BK141" s="287"/>
      <c r="BL141" s="287"/>
    </row>
    <row r="142" spans="1:64" ht="20.100000000000001" hidden="1" customHeight="1">
      <c r="A142" s="542">
        <f>IF(OR($B$136&gt;0,$C$128&gt;400,$D$128&gt;400,$E$128&gt;400,$F$128&gt;400,$G$128&gt;400,$H$128&gt;400,$I$128&gt;400),"tatsächliche Fahrtkosten/ Fahrkarte ÖPNV",0)</f>
        <v>0</v>
      </c>
      <c r="B142" s="359"/>
      <c r="C142" s="543"/>
      <c r="D142" s="543"/>
      <c r="E142" s="543"/>
      <c r="F142" s="543"/>
      <c r="G142" s="543"/>
      <c r="H142" s="543"/>
      <c r="I142" s="544"/>
    </row>
    <row r="143" spans="1:64" ht="20.100000000000001" hidden="1" customHeight="1">
      <c r="A143" s="545">
        <f>IF(OR($B$136&gt;0,$B139&gt;400,$C$128&gt;400,$D$128&gt;400,$E$128&gt;400,$F$128&gt;400,$G$128&gt;400,$H$128&gt;400,$I$128&gt;400),"sonstige Werbungskosten eLB, z.B. Arbeitsmittel",0)</f>
        <v>0</v>
      </c>
      <c r="B143" s="445">
        <f>SUM(C143:E143)</f>
        <v>0</v>
      </c>
      <c r="C143" s="538">
        <f>IF(C201&lt;30,C201,IF(SUM(Eingabetabelle!D80,Eingabetabelle!D82,Eingabetabelle!D83,Eingabetabelle!D79,Eingabetabelle!D94)&gt;30,SUM(Eingabetabelle!D80,Eingabetabelle!D82,Eingabetabelle!D83,Eingabetabelle!D79,Eingabetabelle!D94),30))</f>
        <v>0</v>
      </c>
      <c r="D143" s="538">
        <f>IF(D201&lt;30,D201,IF(SUM(Eingabetabelle!E80,Eingabetabelle!E82,Eingabetabelle!E83,Eingabetabelle!E79,Eingabetabelle!E94)&gt;30,SUM(Eingabetabelle!E80,Eingabetabelle!E82,Eingabetabelle!E83,Eingabetabelle!E79,Eingabetabelle!E94),30))</f>
        <v>0</v>
      </c>
      <c r="E143" s="538">
        <f>IF(E201&lt;30,E201,IF(SUM(Eingabetabelle!F80,Eingabetabelle!F82,Eingabetabelle!F83,Eingabetabelle!F79,Eingabetabelle!F94)&gt;30,SUM(Eingabetabelle!F80,Eingabetabelle!F82,Eingabetabelle!F83,Eingabetabelle!F79,Eingabetabelle!F94),30))</f>
        <v>0</v>
      </c>
      <c r="F143" s="538">
        <f>IF(F201&lt;30,F201,IF(SUM(Eingabetabelle!G80,Eingabetabelle!G82,Eingabetabelle!G83,Eingabetabelle!G79,Eingabetabelle!G94)&gt;30,SUM(Eingabetabelle!G80,Eingabetabelle!G82,Eingabetabelle!G83,Eingabetabelle!G79,Eingabetabelle!G94),30))</f>
        <v>0</v>
      </c>
      <c r="G143" s="538">
        <f>IF(G201&lt;30,G201,IF(SUM(Eingabetabelle!H80,Eingabetabelle!H82,Eingabetabelle!H83,Eingabetabelle!H79,Eingabetabelle!H94)&gt;30,SUM(Eingabetabelle!H80,Eingabetabelle!H82,Eingabetabelle!H83,Eingabetabelle!H79,Eingabetabelle!H94),30))</f>
        <v>0</v>
      </c>
      <c r="H143" s="538">
        <f>IF(H201&lt;30,H201,IF(SUM(Eingabetabelle!I80,Eingabetabelle!I82,Eingabetabelle!I83,Eingabetabelle!I79,Eingabetabelle!I94)&gt;30,SUM(Eingabetabelle!I80,Eingabetabelle!I82,Eingabetabelle!I83,Eingabetabelle!I79,Eingabetabelle!I94),30))</f>
        <v>0</v>
      </c>
      <c r="I143" s="538">
        <f>IF(I201&lt;30,I201,IF(SUM(Eingabetabelle!J80,Eingabetabelle!J82,Eingabetabelle!J83,Eingabetabelle!J79,Eingabetabelle!J94)&gt;30,SUM(Eingabetabelle!J80,Eingabetabelle!J82,Eingabetabelle!J83,Eingabetabelle!J79,Eingabetabelle!J94),30))</f>
        <v>0</v>
      </c>
    </row>
    <row r="144" spans="1:64" ht="31.7" hidden="1" customHeight="1">
      <c r="A144" s="546" t="str">
        <f>IF(AND(B139&gt;0,B143&gt;0),"Sind vorstehende Werbungskosten als Betriebsausgaben in der EKS enthalten?","")</f>
        <v/>
      </c>
      <c r="B144" s="445" t="str">
        <f>IF(AND(B139&gt;0,B143&gt;0),"→→→","")</f>
        <v/>
      </c>
      <c r="C144" s="538">
        <f>Eingabetabelle!D84</f>
        <v>0</v>
      </c>
      <c r="D144" s="538">
        <f>Eingabetabelle!E84</f>
        <v>0</v>
      </c>
      <c r="E144" s="538">
        <f>Eingabetabelle!F84</f>
        <v>0</v>
      </c>
      <c r="F144" s="538"/>
      <c r="G144" s="538"/>
      <c r="H144" s="538"/>
      <c r="I144" s="538"/>
    </row>
    <row r="145" spans="1:64" ht="20.100000000000001" hidden="1" customHeight="1">
      <c r="A145" s="547" t="s">
        <v>192</v>
      </c>
      <c r="B145" s="548"/>
      <c r="C145" s="549">
        <f>IF(AND((C131+C138+C139)&gt;400,C144="Nein"),C143,IF(AND(C139&gt;400,C144=""),0,IF(C131+C138&gt;400,C143,0)))</f>
        <v>0</v>
      </c>
      <c r="D145" s="549">
        <f>IF(AND((D131+D138+D139)&gt;400,D144="Nein"),D143,IF(AND(D139&gt;400,D144=""),0,IF(D131+D138&gt;400,D143,0)))</f>
        <v>0</v>
      </c>
      <c r="E145" s="549">
        <f>IF(AND((E131+E138+E139)&gt;400,E144="Nein"),E143,IF(AND(E139&gt;400,E144=""),0,IF(E131+E138&gt;400,E143,0)))</f>
        <v>0</v>
      </c>
      <c r="F145" s="549">
        <f>IF(F131&gt;400,F143,0)</f>
        <v>0</v>
      </c>
      <c r="G145" s="549">
        <f>IF(G131&gt;400,G143,0)</f>
        <v>0</v>
      </c>
      <c r="H145" s="549">
        <f>IF(H131&gt;400,H143,0)</f>
        <v>0</v>
      </c>
      <c r="I145" s="550">
        <f>IF(I131&gt;400,I143,0)</f>
        <v>0</v>
      </c>
    </row>
    <row r="146" spans="1:64" ht="20.100000000000001" hidden="1" customHeight="1">
      <c r="A146" s="551"/>
      <c r="B146" s="552"/>
      <c r="C146" s="394">
        <f t="shared" ref="C146:I146" si="41">IF(C138&gt;200,C143,0)</f>
        <v>0</v>
      </c>
      <c r="D146" s="394">
        <f t="shared" si="41"/>
        <v>0</v>
      </c>
      <c r="E146" s="394">
        <f t="shared" si="41"/>
        <v>0</v>
      </c>
      <c r="F146" s="394">
        <f t="shared" si="41"/>
        <v>0</v>
      </c>
      <c r="G146" s="394">
        <f t="shared" si="41"/>
        <v>0</v>
      </c>
      <c r="H146" s="394">
        <f t="shared" si="41"/>
        <v>0</v>
      </c>
      <c r="I146" s="459">
        <f t="shared" si="41"/>
        <v>0</v>
      </c>
    </row>
    <row r="147" spans="1:64" ht="20.100000000000001" hidden="1" customHeight="1">
      <c r="A147" s="405"/>
      <c r="B147" s="552"/>
      <c r="C147" s="394">
        <f t="shared" ref="C147:I147" si="42">IF(C136&gt;100,C143,0)</f>
        <v>0</v>
      </c>
      <c r="D147" s="394">
        <f t="shared" si="42"/>
        <v>0</v>
      </c>
      <c r="E147" s="394">
        <f t="shared" si="42"/>
        <v>0</v>
      </c>
      <c r="F147" s="394">
        <f t="shared" si="42"/>
        <v>0</v>
      </c>
      <c r="G147" s="394">
        <f t="shared" si="42"/>
        <v>0</v>
      </c>
      <c r="H147" s="394">
        <f t="shared" si="42"/>
        <v>0</v>
      </c>
      <c r="I147" s="459">
        <f t="shared" si="42"/>
        <v>0</v>
      </c>
    </row>
    <row r="148" spans="1:64" ht="20.100000000000001" hidden="1" customHeight="1">
      <c r="A148" s="551"/>
      <c r="B148" s="552"/>
      <c r="C148" s="552">
        <f t="shared" ref="C148:I148" si="43">IF(C145&gt;0,C145,IF(C146&gt;0,C146,IF(C147&gt;0,C147,0)))</f>
        <v>0</v>
      </c>
      <c r="D148" s="552">
        <f t="shared" si="43"/>
        <v>0</v>
      </c>
      <c r="E148" s="552">
        <f t="shared" si="43"/>
        <v>0</v>
      </c>
      <c r="F148" s="552">
        <f t="shared" si="43"/>
        <v>0</v>
      </c>
      <c r="G148" s="552">
        <f t="shared" si="43"/>
        <v>0</v>
      </c>
      <c r="H148" s="552">
        <f t="shared" si="43"/>
        <v>0</v>
      </c>
      <c r="I148" s="553">
        <f t="shared" si="43"/>
        <v>0</v>
      </c>
    </row>
    <row r="149" spans="1:64" ht="20.100000000000001" hidden="1" customHeight="1">
      <c r="A149" s="551"/>
      <c r="B149" s="552"/>
      <c r="C149" s="554">
        <f>IF(C161=0,0,IF(C148=100,100.001,C148))</f>
        <v>0</v>
      </c>
      <c r="D149" s="554">
        <f t="shared" ref="D149:I149" si="44">IF(D161=0,0,IF(D148=100,100.001,D148))</f>
        <v>0</v>
      </c>
      <c r="E149" s="554">
        <f t="shared" si="44"/>
        <v>0</v>
      </c>
      <c r="F149" s="554">
        <f t="shared" si="44"/>
        <v>0</v>
      </c>
      <c r="G149" s="554">
        <f t="shared" si="44"/>
        <v>0</v>
      </c>
      <c r="H149" s="554">
        <f t="shared" si="44"/>
        <v>0</v>
      </c>
      <c r="I149" s="554">
        <f t="shared" si="44"/>
        <v>0</v>
      </c>
    </row>
    <row r="150" spans="1:64" ht="20.100000000000001" hidden="1" customHeight="1">
      <c r="A150" s="405"/>
      <c r="B150" s="552"/>
      <c r="C150" s="552"/>
      <c r="D150" s="552"/>
      <c r="E150" s="552"/>
      <c r="F150" s="552"/>
      <c r="G150" s="552"/>
      <c r="H150" s="552"/>
      <c r="I150" s="553"/>
    </row>
    <row r="151" spans="1:64" ht="20.100000000000001" hidden="1" customHeight="1">
      <c r="A151" s="555" t="s">
        <v>193</v>
      </c>
      <c r="B151" s="552"/>
      <c r="C151" s="556">
        <f>IF(C197&gt;0,0,IF(C34="nein",0,IF(C131+C139&gt;100,100,C131+C139)))</f>
        <v>0</v>
      </c>
      <c r="D151" s="556">
        <f>IF(D197&gt;0,0,IF(D34="nein",0,IF(D131+D139&gt;100,100,D131+D139)))</f>
        <v>0</v>
      </c>
      <c r="E151" s="556">
        <f>IF(AND(E18&gt;14,E34="nein"),0,IF(E131+E139&gt;100,100,E131+E139))</f>
        <v>0</v>
      </c>
      <c r="F151" s="556">
        <f>IF(AND(F18&gt;14,F34="nein"),0,IF(F131+F139&gt;100,100,F131+F139))</f>
        <v>0</v>
      </c>
      <c r="G151" s="556">
        <f>IF(AND(G18&gt;14,G34="nein"),0,IF(G131+G139&gt;100,100,G131+G139))</f>
        <v>0</v>
      </c>
      <c r="H151" s="556">
        <f>IF(AND(H18&gt;14,H34="nein"),0,IF(H131+H139&gt;100,100,H131+H139))</f>
        <v>0</v>
      </c>
      <c r="I151" s="557">
        <f>IF(AND(I18&gt;14,I34="nein"),0,IF(I131+I139&gt;100,100,I131+I139))</f>
        <v>0</v>
      </c>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row>
    <row r="152" spans="1:64" ht="20.100000000000001" hidden="1" customHeight="1">
      <c r="A152" s="405"/>
      <c r="B152" s="552"/>
      <c r="C152" s="509">
        <f t="shared" ref="C152:I152" si="45">IF(AND(C131+C139&gt;400,C151=100),C216,C151)</f>
        <v>0</v>
      </c>
      <c r="D152" s="509">
        <f t="shared" si="45"/>
        <v>0</v>
      </c>
      <c r="E152" s="509">
        <f t="shared" si="45"/>
        <v>0</v>
      </c>
      <c r="F152" s="509">
        <f t="shared" si="45"/>
        <v>0</v>
      </c>
      <c r="G152" s="509">
        <f t="shared" si="45"/>
        <v>0</v>
      </c>
      <c r="H152" s="509">
        <f t="shared" si="45"/>
        <v>0</v>
      </c>
      <c r="I152" s="510">
        <f t="shared" si="45"/>
        <v>0</v>
      </c>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7"/>
    </row>
    <row r="153" spans="1:64" ht="20.100000000000001" hidden="1" customHeight="1">
      <c r="A153" s="405"/>
      <c r="B153" s="552"/>
      <c r="C153" s="558">
        <f t="shared" ref="C153:I153" si="46">IF(C152&gt;C131+C139,C131+C139,C152)</f>
        <v>0</v>
      </c>
      <c r="D153" s="558">
        <f t="shared" si="46"/>
        <v>0</v>
      </c>
      <c r="E153" s="558">
        <f t="shared" si="46"/>
        <v>0</v>
      </c>
      <c r="F153" s="558">
        <f t="shared" si="46"/>
        <v>0</v>
      </c>
      <c r="G153" s="558">
        <f t="shared" si="46"/>
        <v>0</v>
      </c>
      <c r="H153" s="558">
        <f t="shared" si="46"/>
        <v>0</v>
      </c>
      <c r="I153" s="559">
        <f t="shared" si="46"/>
        <v>0</v>
      </c>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7"/>
      <c r="BC153" s="287"/>
      <c r="BD153" s="287"/>
      <c r="BE153" s="287"/>
      <c r="BF153" s="287"/>
      <c r="BG153" s="287"/>
      <c r="BH153" s="287"/>
      <c r="BI153" s="287"/>
      <c r="BJ153" s="287"/>
      <c r="BK153" s="287"/>
      <c r="BL153" s="287"/>
    </row>
    <row r="154" spans="1:64" ht="20.100000000000001" hidden="1" customHeight="1">
      <c r="A154" s="560" t="s">
        <v>194</v>
      </c>
      <c r="B154" s="552"/>
      <c r="C154" s="561">
        <f t="shared" ref="C154:I154" si="47">IF(C136&gt;100,100,C136)</f>
        <v>0</v>
      </c>
      <c r="D154" s="561">
        <f t="shared" si="47"/>
        <v>0</v>
      </c>
      <c r="E154" s="561">
        <f t="shared" si="47"/>
        <v>0</v>
      </c>
      <c r="F154" s="561">
        <f t="shared" si="47"/>
        <v>0</v>
      </c>
      <c r="G154" s="561">
        <f t="shared" si="47"/>
        <v>0</v>
      </c>
      <c r="H154" s="561">
        <f t="shared" si="47"/>
        <v>0</v>
      </c>
      <c r="I154" s="562">
        <f t="shared" si="47"/>
        <v>0</v>
      </c>
      <c r="L154" s="563"/>
    </row>
    <row r="155" spans="1:64" ht="20.100000000000001" hidden="1" customHeight="1">
      <c r="A155" s="560"/>
      <c r="B155" s="552"/>
      <c r="C155" s="509">
        <f t="shared" ref="C155:I155" si="48">IF(C136&gt;100,C216,C154)</f>
        <v>0</v>
      </c>
      <c r="D155" s="509">
        <f t="shared" si="48"/>
        <v>0</v>
      </c>
      <c r="E155" s="509">
        <f t="shared" si="48"/>
        <v>0</v>
      </c>
      <c r="F155" s="509">
        <f t="shared" si="48"/>
        <v>0</v>
      </c>
      <c r="G155" s="509">
        <f t="shared" si="48"/>
        <v>0</v>
      </c>
      <c r="H155" s="509">
        <f t="shared" si="48"/>
        <v>0</v>
      </c>
      <c r="I155" s="510">
        <f t="shared" si="48"/>
        <v>0</v>
      </c>
      <c r="L155" s="563"/>
    </row>
    <row r="156" spans="1:64" ht="20.100000000000001" hidden="1" customHeight="1">
      <c r="A156" s="560"/>
      <c r="B156" s="552"/>
      <c r="C156" s="558">
        <f t="shared" ref="C156:I156" si="49">IF(C155&gt;C136,C136,C155)</f>
        <v>0</v>
      </c>
      <c r="D156" s="558">
        <f t="shared" si="49"/>
        <v>0</v>
      </c>
      <c r="E156" s="558">
        <f t="shared" si="49"/>
        <v>0</v>
      </c>
      <c r="F156" s="558">
        <f t="shared" si="49"/>
        <v>0</v>
      </c>
      <c r="G156" s="558">
        <f t="shared" si="49"/>
        <v>0</v>
      </c>
      <c r="H156" s="558">
        <f t="shared" si="49"/>
        <v>0</v>
      </c>
      <c r="I156" s="559">
        <f t="shared" si="49"/>
        <v>0</v>
      </c>
      <c r="L156" s="563"/>
    </row>
    <row r="157" spans="1:64" ht="20.100000000000001" hidden="1" customHeight="1">
      <c r="A157" s="560" t="s">
        <v>195</v>
      </c>
      <c r="B157" s="552"/>
      <c r="C157" s="561">
        <f t="shared" ref="C157:I157" si="50">IF(C138&gt;Ehrenamt,Ehrenamt,C138)</f>
        <v>0</v>
      </c>
      <c r="D157" s="561">
        <f t="shared" si="50"/>
        <v>0</v>
      </c>
      <c r="E157" s="561">
        <f t="shared" si="50"/>
        <v>0</v>
      </c>
      <c r="F157" s="561">
        <f t="shared" si="50"/>
        <v>0</v>
      </c>
      <c r="G157" s="561">
        <f t="shared" si="50"/>
        <v>0</v>
      </c>
      <c r="H157" s="561">
        <f t="shared" si="50"/>
        <v>0</v>
      </c>
      <c r="I157" s="561">
        <f t="shared" si="50"/>
        <v>0</v>
      </c>
    </row>
    <row r="158" spans="1:64" ht="20.100000000000001" hidden="1" customHeight="1">
      <c r="A158" s="405"/>
      <c r="B158" s="552"/>
      <c r="C158" s="509">
        <f t="shared" ref="C158:I158" si="51">IF(AND(C138&gt;Ehrenamt,C157=Ehrenamt),C217,C157)</f>
        <v>0</v>
      </c>
      <c r="D158" s="509">
        <f t="shared" si="51"/>
        <v>0</v>
      </c>
      <c r="E158" s="509">
        <f t="shared" si="51"/>
        <v>0</v>
      </c>
      <c r="F158" s="509">
        <f t="shared" si="51"/>
        <v>0</v>
      </c>
      <c r="G158" s="509">
        <f t="shared" si="51"/>
        <v>0</v>
      </c>
      <c r="H158" s="509">
        <f t="shared" si="51"/>
        <v>0</v>
      </c>
      <c r="I158" s="509">
        <f t="shared" si="51"/>
        <v>0</v>
      </c>
    </row>
    <row r="159" spans="1:64" ht="20.100000000000001" hidden="1" customHeight="1">
      <c r="A159" s="551"/>
      <c r="B159" s="552"/>
      <c r="C159" s="564">
        <f t="shared" ref="C159:I159" si="52">C158</f>
        <v>0</v>
      </c>
      <c r="D159" s="564">
        <f t="shared" si="52"/>
        <v>0</v>
      </c>
      <c r="E159" s="564">
        <f t="shared" si="52"/>
        <v>0</v>
      </c>
      <c r="F159" s="564">
        <f t="shared" si="52"/>
        <v>0</v>
      </c>
      <c r="G159" s="564">
        <f t="shared" si="52"/>
        <v>0</v>
      </c>
      <c r="H159" s="564">
        <f t="shared" si="52"/>
        <v>0</v>
      </c>
      <c r="I159" s="565">
        <f t="shared" si="52"/>
        <v>0</v>
      </c>
    </row>
    <row r="160" spans="1:64" ht="20.100000000000001" hidden="1" customHeight="1">
      <c r="A160" s="551"/>
      <c r="B160" s="552"/>
      <c r="C160" s="552">
        <f t="shared" ref="C160:I160" si="53">IF(C156&gt;C153,C156,C153)</f>
        <v>0</v>
      </c>
      <c r="D160" s="552">
        <f t="shared" si="53"/>
        <v>0</v>
      </c>
      <c r="E160" s="552">
        <f t="shared" si="53"/>
        <v>0</v>
      </c>
      <c r="F160" s="552">
        <f t="shared" si="53"/>
        <v>0</v>
      </c>
      <c r="G160" s="552">
        <f t="shared" si="53"/>
        <v>0</v>
      </c>
      <c r="H160" s="552">
        <f t="shared" si="53"/>
        <v>0</v>
      </c>
      <c r="I160" s="553">
        <f t="shared" si="53"/>
        <v>0</v>
      </c>
    </row>
    <row r="161" spans="1:64" ht="20.100000000000001" hidden="1" customHeight="1">
      <c r="A161" s="555" t="s">
        <v>196</v>
      </c>
      <c r="B161" s="552"/>
      <c r="C161" s="566">
        <f t="shared" ref="C161:I161" si="54">IF(AND(C132+C139&gt;0,C132+C139&lt;100,C136=0,C138=0),C132+C139,IF(AND(C131+C139&gt;400,C160&gt;100,C138&gt;0,C160&gt;Ehrenamt),C160,IF(AND(C131+C139&gt;400,C160&gt;100,C138&gt;0,C159+100&gt;C160),MIN(Ehrenamt,C159+100),IF(AND(C131+C139&gt;400,C160&gt;100,C138&gt;0,C159+100&lt;C160),C160,IF(AND(C138&gt;0,C159&lt;=Ehrenamt,C160&lt;=Ehrenamt),MIN(Ehrenamt,C159+C160),C160)))))</f>
        <v>0</v>
      </c>
      <c r="D161" s="566">
        <f t="shared" si="54"/>
        <v>0</v>
      </c>
      <c r="E161" s="566">
        <f t="shared" si="54"/>
        <v>0</v>
      </c>
      <c r="F161" s="566">
        <f t="shared" si="54"/>
        <v>0</v>
      </c>
      <c r="G161" s="566">
        <f t="shared" si="54"/>
        <v>0</v>
      </c>
      <c r="H161" s="566">
        <f t="shared" si="54"/>
        <v>0</v>
      </c>
      <c r="I161" s="566">
        <f t="shared" si="54"/>
        <v>0</v>
      </c>
    </row>
    <row r="162" spans="1:64" ht="20.100000000000001" hidden="1" customHeight="1">
      <c r="A162" s="551"/>
      <c r="B162" s="552"/>
      <c r="C162" s="552">
        <f t="shared" ref="C162:I162" si="55">IF(C197&gt;0,C161,IF(C34="nein",C161,IF(AND(C161&lt;100,C200&gt;0),C215,C161)))</f>
        <v>0</v>
      </c>
      <c r="D162" s="552">
        <f t="shared" si="55"/>
        <v>0</v>
      </c>
      <c r="E162" s="552">
        <f t="shared" si="55"/>
        <v>0</v>
      </c>
      <c r="F162" s="552">
        <f t="shared" si="55"/>
        <v>0</v>
      </c>
      <c r="G162" s="552">
        <f t="shared" si="55"/>
        <v>0</v>
      </c>
      <c r="H162" s="552">
        <f t="shared" si="55"/>
        <v>0</v>
      </c>
      <c r="I162" s="553">
        <f t="shared" si="55"/>
        <v>0</v>
      </c>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row>
    <row r="163" spans="1:64" ht="20.100000000000001" hidden="1" customHeight="1">
      <c r="A163" s="551"/>
      <c r="B163" s="552"/>
      <c r="C163" s="552">
        <f t="shared" ref="C163:I163" si="56">IF(C162&gt;C161,C161-C215,C161)</f>
        <v>0</v>
      </c>
      <c r="D163" s="552">
        <f t="shared" si="56"/>
        <v>0</v>
      </c>
      <c r="E163" s="552">
        <f t="shared" si="56"/>
        <v>0</v>
      </c>
      <c r="F163" s="552">
        <f t="shared" si="56"/>
        <v>0</v>
      </c>
      <c r="G163" s="552">
        <f t="shared" si="56"/>
        <v>0</v>
      </c>
      <c r="H163" s="552">
        <f t="shared" si="56"/>
        <v>0</v>
      </c>
      <c r="I163" s="553">
        <f t="shared" si="56"/>
        <v>0</v>
      </c>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287"/>
      <c r="BJ163" s="287"/>
      <c r="BK163" s="287"/>
      <c r="BL163" s="287"/>
    </row>
    <row r="164" spans="1:64" ht="20.100000000000001" hidden="1" customHeight="1">
      <c r="A164" s="567"/>
      <c r="B164" s="568"/>
      <c r="C164" s="569">
        <f t="shared" ref="C164:I164" si="57">IF(C163&lt;0,C163*-1,C163)</f>
        <v>0</v>
      </c>
      <c r="D164" s="569">
        <f t="shared" si="57"/>
        <v>0</v>
      </c>
      <c r="E164" s="569">
        <f t="shared" si="57"/>
        <v>0</v>
      </c>
      <c r="F164" s="569">
        <f t="shared" si="57"/>
        <v>0</v>
      </c>
      <c r="G164" s="569">
        <f t="shared" si="57"/>
        <v>0</v>
      </c>
      <c r="H164" s="569">
        <f t="shared" si="57"/>
        <v>0</v>
      </c>
      <c r="I164" s="570">
        <f t="shared" si="57"/>
        <v>0</v>
      </c>
    </row>
    <row r="165" spans="1:64" ht="20.100000000000001" hidden="1" customHeight="1">
      <c r="A165" s="571" t="s">
        <v>197</v>
      </c>
      <c r="B165" s="512">
        <f>SUM(C165:I165)</f>
        <v>0</v>
      </c>
      <c r="C165" s="513">
        <f>Eingabetabelle!D90</f>
        <v>0</v>
      </c>
      <c r="D165" s="513">
        <f>Eingabetabelle!E90</f>
        <v>0</v>
      </c>
      <c r="E165" s="513">
        <f>Eingabetabelle!F90</f>
        <v>0</v>
      </c>
      <c r="F165" s="513">
        <f>Eingabetabelle!G90</f>
        <v>0</v>
      </c>
      <c r="G165" s="513">
        <f>Eingabetabelle!H90</f>
        <v>0</v>
      </c>
      <c r="H165" s="513">
        <f>Eingabetabelle!I90</f>
        <v>0</v>
      </c>
      <c r="I165" s="513">
        <f>Eingabetabelle!J90</f>
        <v>0</v>
      </c>
    </row>
    <row r="166" spans="1:64" ht="15.95" hidden="1" customHeight="1">
      <c r="A166" s="514">
        <f>IF(B165&gt;0,"vom Träger bereitgestellte Verpflegung",0)</f>
        <v>0</v>
      </c>
      <c r="B166" s="359"/>
      <c r="C166" s="515"/>
      <c r="D166" s="515"/>
      <c r="E166" s="515"/>
      <c r="F166" s="515"/>
      <c r="G166" s="515"/>
      <c r="H166" s="515"/>
      <c r="I166" s="516"/>
    </row>
    <row r="167" spans="1:64" ht="15.95" hidden="1" customHeight="1">
      <c r="A167" s="514">
        <f>IF(B165&gt;0,"an durchschnittlich ____ Tagen im Monat",0)</f>
        <v>0</v>
      </c>
      <c r="B167" s="359"/>
      <c r="C167" s="497"/>
      <c r="D167" s="497"/>
      <c r="E167" s="497"/>
      <c r="F167" s="497"/>
      <c r="G167" s="497"/>
      <c r="H167" s="497"/>
      <c r="I167" s="572"/>
    </row>
    <row r="168" spans="1:64" ht="15" hidden="1" customHeight="1">
      <c r="A168" s="573">
        <f>IF(B168&gt;0,"Wert Verpflegung",0)</f>
        <v>0</v>
      </c>
      <c r="B168" s="574">
        <f>SUM(C168:I168)</f>
        <v>0</v>
      </c>
      <c r="C168" s="575">
        <f>IF(C166="vollverpflegung",C23*C167*0.01,IF(C166="frühstück",C23*C167*0.002,IF(C166="mittagessen",C23*C167*0.004,IF(C166="abendessen",C23*C167*0.004,0))))</f>
        <v>0</v>
      </c>
      <c r="D168" s="576">
        <f>IF(D166="vollverpflegung",D23*D167*0.01,IF(D166="frühstück",D23*D167*0.002,IF(D166="mittagessen",D23*D167*0.004,IF(D166="abendessen",D23*D167*0.004,0))))</f>
        <v>0</v>
      </c>
      <c r="E168" s="576">
        <f>Eingabetabelle!F93</f>
        <v>0</v>
      </c>
      <c r="F168" s="576">
        <f>Eingabetabelle!G93</f>
        <v>0</v>
      </c>
      <c r="G168" s="576">
        <f>Eingabetabelle!H93</f>
        <v>0</v>
      </c>
      <c r="H168" s="576">
        <f>Eingabetabelle!I93</f>
        <v>0</v>
      </c>
      <c r="I168" s="576">
        <f>Eingabetabelle!J93</f>
        <v>0</v>
      </c>
    </row>
    <row r="169" spans="1:64" ht="15" hidden="1" customHeight="1">
      <c r="A169" s="577">
        <f>IF(B165&gt;0,"notwendige Ausgaben",0)</f>
        <v>0</v>
      </c>
      <c r="B169" s="578">
        <f>SUM(C169:I169)</f>
        <v>0</v>
      </c>
      <c r="C169" s="579">
        <f>Eingabetabelle!D94</f>
        <v>0</v>
      </c>
      <c r="D169" s="579">
        <f>Eingabetabelle!E94</f>
        <v>0</v>
      </c>
      <c r="E169" s="579">
        <f>Eingabetabelle!F94</f>
        <v>0</v>
      </c>
      <c r="F169" s="579">
        <f>Eingabetabelle!G94</f>
        <v>0</v>
      </c>
      <c r="G169" s="579">
        <f>Eingabetabelle!H94</f>
        <v>0</v>
      </c>
      <c r="H169" s="579">
        <f>Eingabetabelle!I94</f>
        <v>0</v>
      </c>
      <c r="I169" s="579">
        <f>Eingabetabelle!J94</f>
        <v>0</v>
      </c>
    </row>
    <row r="170" spans="1:64" ht="20.100000000000001" hidden="1" customHeight="1">
      <c r="A170" s="580" t="s">
        <v>198</v>
      </c>
      <c r="B170" s="506"/>
      <c r="C170" s="462">
        <f t="shared" ref="C170:I170" si="58">C165+C168</f>
        <v>0</v>
      </c>
      <c r="D170" s="462">
        <f t="shared" si="58"/>
        <v>0</v>
      </c>
      <c r="E170" s="462">
        <f t="shared" si="58"/>
        <v>0</v>
      </c>
      <c r="F170" s="462">
        <f t="shared" si="58"/>
        <v>0</v>
      </c>
      <c r="G170" s="462">
        <f t="shared" si="58"/>
        <v>0</v>
      </c>
      <c r="H170" s="462">
        <f t="shared" si="58"/>
        <v>0</v>
      </c>
      <c r="I170" s="365">
        <f t="shared" si="58"/>
        <v>0</v>
      </c>
    </row>
    <row r="171" spans="1:64" ht="20.100000000000001" hidden="1" customHeight="1">
      <c r="A171" s="551"/>
      <c r="B171" s="552"/>
      <c r="C171" s="552">
        <f t="shared" ref="C171:I171" si="59">IF(C165&gt;200,200,C165)</f>
        <v>0</v>
      </c>
      <c r="D171" s="552">
        <f t="shared" si="59"/>
        <v>0</v>
      </c>
      <c r="E171" s="552">
        <f t="shared" si="59"/>
        <v>0</v>
      </c>
      <c r="F171" s="552">
        <f t="shared" si="59"/>
        <v>0</v>
      </c>
      <c r="G171" s="552">
        <f t="shared" si="59"/>
        <v>0</v>
      </c>
      <c r="H171" s="552">
        <f t="shared" si="59"/>
        <v>0</v>
      </c>
      <c r="I171" s="553">
        <f t="shared" si="59"/>
        <v>0</v>
      </c>
    </row>
    <row r="172" spans="1:64" ht="20.100000000000001" hidden="1" customHeight="1">
      <c r="A172" s="551"/>
      <c r="B172" s="552"/>
      <c r="C172" s="552">
        <f t="shared" ref="C172:I172" si="60">IF(C161=200,0,IF(AND(C161&gt;1,C161&lt;200),C171-C161,C171))</f>
        <v>0</v>
      </c>
      <c r="D172" s="552">
        <f t="shared" si="60"/>
        <v>0</v>
      </c>
      <c r="E172" s="552">
        <f t="shared" si="60"/>
        <v>0</v>
      </c>
      <c r="F172" s="552">
        <f t="shared" si="60"/>
        <v>0</v>
      </c>
      <c r="G172" s="552">
        <f t="shared" si="60"/>
        <v>0</v>
      </c>
      <c r="H172" s="552">
        <f t="shared" si="60"/>
        <v>0</v>
      </c>
      <c r="I172" s="553">
        <f t="shared" si="60"/>
        <v>0</v>
      </c>
    </row>
    <row r="173" spans="1:64" ht="20.100000000000001" hidden="1" customHeight="1">
      <c r="A173" s="581" t="s">
        <v>199</v>
      </c>
      <c r="B173" s="582"/>
      <c r="C173" s="583">
        <f t="shared" ref="C173:I173" si="61">IF(C172&lt;0,0,C172)</f>
        <v>0</v>
      </c>
      <c r="D173" s="583">
        <f t="shared" si="61"/>
        <v>0</v>
      </c>
      <c r="E173" s="583">
        <f t="shared" si="61"/>
        <v>0</v>
      </c>
      <c r="F173" s="583">
        <f t="shared" si="61"/>
        <v>0</v>
      </c>
      <c r="G173" s="583">
        <f t="shared" si="61"/>
        <v>0</v>
      </c>
      <c r="H173" s="583">
        <f t="shared" si="61"/>
        <v>0</v>
      </c>
      <c r="I173" s="584">
        <f t="shared" si="61"/>
        <v>0</v>
      </c>
    </row>
    <row r="174" spans="1:64" ht="20.100000000000001" hidden="1" customHeight="1">
      <c r="A174" s="585" t="s">
        <v>97</v>
      </c>
      <c r="B174" s="512">
        <f>C174+D174</f>
        <v>0</v>
      </c>
      <c r="C174" s="513">
        <f>Eingabetabelle!D110</f>
        <v>0</v>
      </c>
      <c r="D174" s="513">
        <f>Eingabetabelle!E110</f>
        <v>0</v>
      </c>
      <c r="E174" s="586"/>
      <c r="F174" s="549"/>
      <c r="G174" s="549"/>
      <c r="H174" s="549"/>
      <c r="I174" s="550"/>
    </row>
    <row r="175" spans="1:64" ht="20.100000000000001" hidden="1" customHeight="1">
      <c r="A175" s="587">
        <f>IF(B174&gt;0,"durchschnittl. mtl. Einkommen letzte 12 Monate",0)</f>
        <v>0</v>
      </c>
      <c r="B175" s="359"/>
      <c r="C175" s="433">
        <f>Eingabetabelle!D111</f>
        <v>0</v>
      </c>
      <c r="D175" s="433">
        <f>Eingabetabelle!E111</f>
        <v>0</v>
      </c>
      <c r="E175" s="588"/>
      <c r="F175" s="394"/>
      <c r="G175" s="394"/>
      <c r="H175" s="394"/>
      <c r="I175" s="459"/>
    </row>
    <row r="176" spans="1:64" ht="20.100000000000001" hidden="1" customHeight="1">
      <c r="A176" s="537">
        <f>IF(B174&gt;0,"Verlängerungsoption beim Elterngeld",0)</f>
        <v>0</v>
      </c>
      <c r="B176" s="445"/>
      <c r="C176" s="446" t="str">
        <f>Eingabetabelle!D112</f>
        <v>Nein</v>
      </c>
      <c r="D176" s="446" t="str">
        <f>Eingabetabelle!E112</f>
        <v>Nein</v>
      </c>
      <c r="E176" s="589"/>
      <c r="F176" s="404"/>
      <c r="G176" s="404"/>
      <c r="H176" s="404"/>
      <c r="I176" s="484"/>
    </row>
    <row r="177" spans="1:64" ht="20.100000000000001" hidden="1" customHeight="1">
      <c r="A177" s="590"/>
      <c r="B177" s="526"/>
      <c r="C177" s="591">
        <f>IF(C175&gt;300,300,C175)</f>
        <v>0</v>
      </c>
      <c r="D177" s="591">
        <f>IF(D175&gt;300,300,D175)</f>
        <v>0</v>
      </c>
      <c r="E177" s="527"/>
      <c r="F177" s="527"/>
      <c r="G177" s="527"/>
      <c r="H177" s="527"/>
      <c r="I177" s="528"/>
    </row>
    <row r="178" spans="1:64" ht="20.100000000000001" hidden="1" customHeight="1">
      <c r="A178" s="590"/>
      <c r="B178" s="526"/>
      <c r="C178" s="591">
        <f t="shared" ref="C178:I178" si="62">IF(C176="ja",MIN(150,C175/2),C177)</f>
        <v>0</v>
      </c>
      <c r="D178" s="591">
        <f t="shared" si="62"/>
        <v>0</v>
      </c>
      <c r="E178" s="591">
        <f t="shared" si="62"/>
        <v>0</v>
      </c>
      <c r="F178" s="591">
        <f t="shared" si="62"/>
        <v>0</v>
      </c>
      <c r="G178" s="591">
        <f t="shared" si="62"/>
        <v>0</v>
      </c>
      <c r="H178" s="591">
        <f t="shared" si="62"/>
        <v>0</v>
      </c>
      <c r="I178" s="592">
        <f t="shared" si="62"/>
        <v>0</v>
      </c>
    </row>
    <row r="179" spans="1:64" ht="20.100000000000001" hidden="1" customHeight="1">
      <c r="A179" s="525" t="s">
        <v>200</v>
      </c>
      <c r="B179" s="526"/>
      <c r="C179" s="591">
        <f>IF(C178&lt;C177,C178,C177)</f>
        <v>0</v>
      </c>
      <c r="D179" s="591">
        <f>IF(D178&lt;D177,D178,D177)</f>
        <v>0</v>
      </c>
      <c r="E179" s="527"/>
      <c r="F179" s="527"/>
      <c r="G179" s="527"/>
      <c r="H179" s="527"/>
      <c r="I179" s="528"/>
    </row>
    <row r="180" spans="1:64" ht="20.100000000000001" hidden="1" customHeight="1">
      <c r="A180" s="593" t="s">
        <v>201</v>
      </c>
      <c r="B180" s="512">
        <f>SUM(C180:F180)</f>
        <v>0</v>
      </c>
      <c r="C180" s="513">
        <f>Eingabetabelle!D103</f>
        <v>0</v>
      </c>
      <c r="D180" s="513">
        <f>Eingabetabelle!E103</f>
        <v>0</v>
      </c>
      <c r="E180" s="513">
        <f>Eingabetabelle!F103</f>
        <v>0</v>
      </c>
      <c r="F180" s="513">
        <f>Eingabetabelle!G103</f>
        <v>0</v>
      </c>
      <c r="G180" s="586"/>
      <c r="H180" s="549"/>
      <c r="I180" s="550"/>
    </row>
    <row r="181" spans="1:64" ht="20.100000000000001" hidden="1" customHeight="1">
      <c r="A181" s="542">
        <f>IF(B180&gt;0,"Schultage im Monat",0)</f>
        <v>0</v>
      </c>
      <c r="B181" s="359"/>
      <c r="C181" s="499"/>
      <c r="D181" s="499"/>
      <c r="E181" s="499"/>
      <c r="F181" s="499"/>
      <c r="G181" s="588"/>
      <c r="H181" s="394"/>
      <c r="I181" s="459"/>
    </row>
    <row r="182" spans="1:64" ht="20.100000000000001" hidden="1" customHeight="1">
      <c r="A182" s="542">
        <f>IF(B180&gt;0,"Entfernung Wohnung - Schule",0)</f>
        <v>0</v>
      </c>
      <c r="B182" s="359"/>
      <c r="C182" s="594"/>
      <c r="D182" s="594"/>
      <c r="E182" s="594"/>
      <c r="F182" s="594"/>
      <c r="G182" s="588"/>
      <c r="H182" s="394"/>
      <c r="I182" s="459"/>
    </row>
    <row r="183" spans="1:64" ht="20.100000000000001" hidden="1" customHeight="1">
      <c r="A183" s="303"/>
      <c r="B183" s="359"/>
      <c r="C183" s="433">
        <f>C181*C182*0.2</f>
        <v>0</v>
      </c>
      <c r="D183" s="433">
        <f>D181*D182*0.2</f>
        <v>0</v>
      </c>
      <c r="E183" s="433">
        <f>E181*E182*0.2</f>
        <v>0</v>
      </c>
      <c r="F183" s="433">
        <f>F181*F182*0.2</f>
        <v>0</v>
      </c>
      <c r="G183" s="527"/>
      <c r="H183" s="588"/>
      <c r="I183" s="459"/>
    </row>
    <row r="184" spans="1:64" ht="20.100000000000001" hidden="1" customHeight="1">
      <c r="A184" s="542">
        <f>IF(B180&gt;0,"oder Monatsfahrkarte",0)</f>
        <v>0</v>
      </c>
      <c r="B184" s="359"/>
      <c r="C184" s="433"/>
      <c r="D184" s="433"/>
      <c r="E184" s="433"/>
      <c r="F184" s="433"/>
      <c r="G184" s="588"/>
      <c r="H184" s="394"/>
      <c r="I184" s="459"/>
    </row>
    <row r="185" spans="1:64" ht="20.100000000000001" hidden="1" customHeight="1">
      <c r="A185" s="590"/>
      <c r="B185" s="526"/>
      <c r="C185" s="527">
        <f>MAX(C183,C184)</f>
        <v>0</v>
      </c>
      <c r="D185" s="527">
        <f>MAX(D183,D184)</f>
        <v>0</v>
      </c>
      <c r="E185" s="527">
        <f>MAX(E183,E184)</f>
        <v>0</v>
      </c>
      <c r="F185" s="527">
        <f>MAX(F183,F184)</f>
        <v>0</v>
      </c>
      <c r="G185" s="595"/>
      <c r="H185" s="595"/>
      <c r="I185" s="596"/>
    </row>
    <row r="186" spans="1:64" ht="20.100000000000001" hidden="1" customHeight="1">
      <c r="A186" s="537">
        <f>IF(B180&gt;0,"sonstige Kosten, z.B. Ausbildungsmaterial",0)</f>
        <v>0</v>
      </c>
      <c r="B186" s="531"/>
      <c r="C186" s="538"/>
      <c r="D186" s="538"/>
      <c r="E186" s="538"/>
      <c r="F186" s="538"/>
      <c r="G186" s="597"/>
      <c r="H186" s="598"/>
      <c r="I186" s="599"/>
    </row>
    <row r="187" spans="1:64" ht="20.100000000000001" hidden="1" customHeight="1">
      <c r="A187" s="600"/>
      <c r="B187" s="526"/>
      <c r="C187" s="535">
        <f>MIN(C180,100)</f>
        <v>0</v>
      </c>
      <c r="D187" s="535">
        <f>MIN(D180,100)</f>
        <v>0</v>
      </c>
      <c r="E187" s="535">
        <f>MIN(E180,100)</f>
        <v>0</v>
      </c>
      <c r="F187" s="535">
        <f>MIN(F180,100)</f>
        <v>0</v>
      </c>
      <c r="G187" s="595"/>
      <c r="H187" s="595"/>
      <c r="I187" s="596"/>
    </row>
    <row r="188" spans="1:64" ht="20.100000000000001" hidden="1" customHeight="1">
      <c r="A188" s="600"/>
      <c r="B188" s="526"/>
      <c r="C188" s="535">
        <f>IF(AND(C161&gt;0,C161&lt;=100),MIN(100-C161,C187),IF(C159&gt;100,0,C187))</f>
        <v>0</v>
      </c>
      <c r="D188" s="535">
        <f>IF(AND(D161&gt;0,D161&lt;=100),MIN(100-D161,D187),IF(D159&gt;100,0,D187))</f>
        <v>0</v>
      </c>
      <c r="E188" s="535">
        <f>IF(AND(E161&gt;0,E161&lt;=100),MIN(100-E161,E187),IF(E159&gt;100,0,E187))</f>
        <v>0</v>
      </c>
      <c r="F188" s="535">
        <f>IF(AND(F161&gt;0,F161&lt;=100),MIN(100-F161,F187),IF(F159&gt;100,0,F187))</f>
        <v>0</v>
      </c>
      <c r="G188" s="595"/>
      <c r="H188" s="595"/>
      <c r="I188" s="596"/>
    </row>
    <row r="189" spans="1:64" ht="20.100000000000001" hidden="1" customHeight="1">
      <c r="A189" s="505" t="s">
        <v>202</v>
      </c>
      <c r="B189" s="526"/>
      <c r="C189" s="535">
        <f>IF(OR(C161&gt;100,C180=0),0,C188)</f>
        <v>0</v>
      </c>
      <c r="D189" s="535">
        <f>IF(OR(D161&gt;100,D180=0),0,D188)</f>
        <v>0</v>
      </c>
      <c r="E189" s="535">
        <f>IF(OR(E161&gt;100,E180=0),0,E188)</f>
        <v>0</v>
      </c>
      <c r="F189" s="535">
        <f>IF(OR(F161&gt;100,F180=0),0,F188)</f>
        <v>0</v>
      </c>
      <c r="G189" s="595"/>
      <c r="H189" s="595"/>
      <c r="I189" s="596"/>
    </row>
    <row r="190" spans="1:64" ht="20.100000000000001" hidden="1" customHeight="1">
      <c r="A190" s="505" t="s">
        <v>203</v>
      </c>
      <c r="B190" s="526"/>
      <c r="C190" s="535">
        <f>IF(C185+C186&gt;C189,MIN(C180,C185+C186),IF(AND(C174+C180+C192+C195+C196+C197+C198+C199&gt;0,C191&gt;C189),C185+C186,0))</f>
        <v>0</v>
      </c>
      <c r="D190" s="535">
        <f>IF(D185+D186&gt;D189,MIN(D180,D185+D186),IF(AND(D174+D180+D192+D195+D196+D197+D198+D199&gt;0,D191&gt;D189),D185+D186,0))</f>
        <v>0</v>
      </c>
      <c r="E190" s="535">
        <f>IF(E185+E186&gt;E189,MIN(E180,E185+E186),IF(AND(E174+E180+E192+E195+E196+E197+E198+E199&gt;0,E191&gt;E189),E185+E186,0))</f>
        <v>0</v>
      </c>
      <c r="F190" s="535">
        <f>IF(F185+F186&gt;F189,MIN(F180,F185+F186),IF(AND(F174+F180+F192+F195+F196+F197+F198+F199&gt;0,F191&gt;F189),F185+F186,0))</f>
        <v>0</v>
      </c>
      <c r="G190" s="595"/>
      <c r="H190" s="595"/>
      <c r="I190" s="596"/>
    </row>
    <row r="191" spans="1:64" ht="20.100000000000001" hidden="1" customHeight="1">
      <c r="A191" s="600"/>
      <c r="B191" s="526"/>
      <c r="C191" s="535">
        <f>IF(AND(C180&gt;0,C185+C186+C214&gt;100),C185+C186+C214,0)</f>
        <v>0</v>
      </c>
      <c r="D191" s="535">
        <f>IF(AND(D180&gt;0,D185+D186+D214&gt;100),D185+D186+D214,0)</f>
        <v>0</v>
      </c>
      <c r="E191" s="535">
        <f>IF(AND(E180&gt;0,E185+E186+E214&gt;100),E185+E186+E214,0)</f>
        <v>0</v>
      </c>
      <c r="F191" s="535">
        <f>IF(AND(F180&gt;0,F185+F186+F214&gt;100),F185+F186+F214,0)</f>
        <v>0</v>
      </c>
      <c r="G191" s="595"/>
      <c r="H191" s="595"/>
      <c r="I191" s="596"/>
    </row>
    <row r="192" spans="1:64" ht="20.100000000000001" hidden="1" customHeight="1">
      <c r="A192" s="601" t="s">
        <v>204</v>
      </c>
      <c r="B192" s="602">
        <f>COUNTIF(E192:I192,"&gt;0")</f>
        <v>0</v>
      </c>
      <c r="C192" s="513"/>
      <c r="D192" s="513"/>
      <c r="E192" s="603">
        <f>IF(AND(E$18&lt;18,G$18&gt;17),D245,IF(AND(E$18&lt;18,F$18&lt;18,G$18&lt;18,H$18&gt;17),E245,IF(AND(E$18&lt;18,F$18&lt;18,G$18&lt;18,H$18&lt;18,I$18&gt;17),F245,IF(AND(E$18&lt;18,F$18&lt;18,G$18&lt;18,H$18&lt;18,I$18&lt;18),G245,0))))</f>
        <v>0</v>
      </c>
      <c r="F192" s="603">
        <f>IF(AND(F$18&lt;18,E$18&gt;17,H$18&gt;17),D245,IF(AND(F$18&lt;18,G$18&gt;17),D245,IF(AND(E$18&lt;18,F$18&lt;18,G$18&lt;18,H$18&gt;17),E245,IF(AND(E$18&gt;17,F$18&lt;18,G$18&lt;18,H$18&lt;18,I$18&gt;17),E245,IF(AND(E$18&lt;18,F$18&lt;18,G$18&lt;18,H$18&lt;18,I$18&gt;17),F245,IF(AND(E$18&gt;17,F$18&lt;18,G$18&lt;18,H$18&lt;18,I$18&lt;18),F245,IF(AND(E$18&lt;18,F$18&lt;18,G$18&lt;18,H$18&lt;18,I$18&lt;18),G245,0)))))))</f>
        <v>0</v>
      </c>
      <c r="G192" s="603">
        <f>IF(AND(G$18&lt;18,E$18&gt;17,F$18&lt;18,H$18&gt;17),D245,IF(AND(G$18&lt;18,E$18&gt;17,F$18&gt;17,H$18&lt;18,I$18&gt;17),D245,IF(AND(E$18&lt;18,F$18&lt;18,G$18&lt;18,H$18&gt;17),E245,IF(AND(E$18&gt;17,F$18&lt;18,G$18&lt;18,H$18&lt;18,I$18&gt;17),E245,IF(AND(E$18&lt;18,F$18&lt;18,G$18&lt;18,H$18&lt;18,I$18&gt;17),F245,IF(AND(E$18&gt;17,F$18&lt;18,G$18&lt;18,H$18&lt;18,I$18&lt;18),F245,IF(AND(E$18&lt;18,F$18&lt;18,G$18&lt;18,H$18&lt;18,I$18&lt;18),G245,0)))))))</f>
        <v>0</v>
      </c>
      <c r="H192" s="603">
        <f>IF(AND(E$18&gt;17,F$18&gt;17,G$18&gt;17,H$18&lt;18),D245,IF(AND(E$18&gt;17,F$18&gt;17,G$18&lt;18,H$18&lt;18,I$18&gt;17),D245,IF(AND(E$18&gt;17,F$18&lt;18,G$18&lt;18,H$18&lt;18,I$18&gt;17),E245,IF(AND(E$18&gt;17,F$18&gt;17,G$18&lt;18,I$18&lt;18,H$18&lt;18),E245,IF(AND(E$18&lt;18,F$18&lt;18,G$18&lt;18,H$18&lt;18,I$18&gt;17),F245,IF(AND(E$18&gt;17,F$18&lt;18,G$18&lt;18,H$18&lt;18,I$18&lt;18),F245,IF(AND(E$18&lt;18,F$18&lt;18,G$18&lt;18,H$18&lt;18,I$18&lt;18),G245,0)))))))</f>
        <v>0</v>
      </c>
      <c r="I192" s="604">
        <f>IF(AND(E$18&gt;17,F$18&gt;17,G$18&gt;17,H$18&gt;17,I$18&lt;18),D245,IF(AND(E$18&gt;17,F$18&gt;17,G$18&gt;17,I$18&lt;18),D245,IF(AND(E$18&gt;17,F$18&gt;17,G$18&lt;18,H$18&lt;18,I$18&lt;18),E245,IF(AND(E$18&gt;17,F$18&lt;18,G$18&lt;18,H$18&lt;18,I$18&lt;18),F245,IF(AND(E$18&lt;18,F$18&lt;18,G$18&lt;18,H$18&lt;18,I$18&lt;18),G245,0)))))</f>
        <v>0</v>
      </c>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c r="AH192" s="287"/>
      <c r="AI192" s="287"/>
      <c r="AJ192" s="287"/>
      <c r="AK192" s="287"/>
      <c r="AL192" s="287"/>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287"/>
      <c r="BJ192" s="287"/>
      <c r="BK192" s="287"/>
      <c r="BL192" s="287"/>
    </row>
    <row r="193" spans="1:64" ht="20.100000000000001" hidden="1" customHeight="1">
      <c r="A193" s="605" t="s">
        <v>87</v>
      </c>
      <c r="B193" s="606"/>
      <c r="C193" s="607">
        <f>Eingabetabelle!D99</f>
        <v>0</v>
      </c>
      <c r="D193" s="607">
        <f>Eingabetabelle!E99</f>
        <v>0</v>
      </c>
      <c r="E193" s="607">
        <f>Eingabetabelle!F99</f>
        <v>0</v>
      </c>
      <c r="F193" s="607">
        <f>Eingabetabelle!G99</f>
        <v>0</v>
      </c>
      <c r="G193" s="607">
        <f>Eingabetabelle!H99</f>
        <v>0</v>
      </c>
      <c r="H193" s="607">
        <f>Eingabetabelle!I99</f>
        <v>0</v>
      </c>
      <c r="I193" s="607">
        <f>Eingabetabelle!J99</f>
        <v>0</v>
      </c>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row>
    <row r="194" spans="1:64" ht="20.100000000000001" hidden="1" customHeight="1">
      <c r="A194" s="102" t="s">
        <v>205</v>
      </c>
      <c r="B194" s="359"/>
      <c r="C194" s="370"/>
      <c r="D194" s="608">
        <f>COUNTIF(E194:I194,"&gt;=268")</f>
        <v>0</v>
      </c>
      <c r="E194" s="609">
        <f>IF(AND($B$46&gt;0,E18&lt;6),$C$246,IF(AND($B$46&gt;0,E18&gt;5,E18&lt;12),$D$246,IF(AND($B$46&gt;0,E18&gt;11,E18&lt;18,Kinderzuschlag!$B$168&gt;=600),$E$246,0)))</f>
        <v>0</v>
      </c>
      <c r="F194" s="609">
        <f>IF(AND($B$46&gt;0,F18&lt;6),$C$246,IF(AND($B$46&gt;0,F18&gt;5,F18&lt;12),$D$246,IF(AND($B$46&gt;0,F18&gt;11,F18&lt;18,Kinderzuschlag!$B$168&gt;=600),$E$246,0)))</f>
        <v>0</v>
      </c>
      <c r="G194" s="609">
        <f>IF(AND($B$46&gt;0,G18&lt;6),$C$246,IF(AND($B$46&gt;0,G18&gt;5,G18&lt;12),$D$246,IF(AND($B$46&gt;0,G18&gt;11,G18&lt;18,Kinderzuschlag!$B$168&gt;=600),$E$246,0)))</f>
        <v>0</v>
      </c>
      <c r="H194" s="609">
        <f>IF(AND($B$46&gt;0,H18&lt;6),$C$246,IF(AND($B$46&gt;0,H18&gt;5,H18&lt;12),$D$246,IF(AND($B$46&gt;0,H18&gt;11,H18&lt;18,Kinderzuschlag!$B$168&gt;=600),$E$246,0)))</f>
        <v>0</v>
      </c>
      <c r="I194" s="610">
        <f>IF(AND($B$46&gt;0,I18&lt;6),$C$246,IF(AND($B$46&gt;0,I18&gt;5,I18&lt;12),$D$246,IF(AND($B$46&gt;0,I18&gt;11,I18&lt;18,Kinderzuschlag!$B$168&gt;=600),$E$246,0)))</f>
        <v>0</v>
      </c>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287"/>
      <c r="AJ194" s="287"/>
      <c r="AK194" s="287"/>
      <c r="AL194" s="287"/>
      <c r="AM194" s="287"/>
      <c r="AN194" s="287"/>
      <c r="AO194" s="287"/>
      <c r="AP194" s="287"/>
      <c r="AQ194" s="287"/>
      <c r="AR194" s="287"/>
      <c r="AS194" s="287"/>
      <c r="AT194" s="287"/>
      <c r="AU194" s="287"/>
      <c r="AV194" s="287"/>
      <c r="AW194" s="287"/>
      <c r="AX194" s="287"/>
      <c r="AY194" s="287"/>
      <c r="AZ194" s="287"/>
      <c r="BA194" s="287"/>
      <c r="BB194" s="287"/>
      <c r="BC194" s="287"/>
      <c r="BD194" s="287"/>
      <c r="BE194" s="287"/>
      <c r="BF194" s="287"/>
      <c r="BG194" s="287"/>
      <c r="BH194" s="287"/>
      <c r="BI194" s="287"/>
      <c r="BJ194" s="287"/>
      <c r="BK194" s="287"/>
      <c r="BL194" s="287"/>
    </row>
    <row r="195" spans="1:64" ht="20.100000000000001" hidden="1" customHeight="1">
      <c r="A195" s="401"/>
      <c r="B195" s="506">
        <f>SUMPRODUCT(((E195:I195&gt;=268)*(Berechnung!E9:I9&gt;11)*(Berechnung!E9:I9&lt;18)))</f>
        <v>0</v>
      </c>
      <c r="C195" s="462">
        <f>C193</f>
        <v>0</v>
      </c>
      <c r="D195" s="462">
        <f>D193</f>
        <v>0</v>
      </c>
      <c r="E195" s="462">
        <f>Eingabetabelle!F101</f>
        <v>0</v>
      </c>
      <c r="F195" s="462">
        <f>Eingabetabelle!G101</f>
        <v>0</v>
      </c>
      <c r="G195" s="462">
        <f>Eingabetabelle!H101</f>
        <v>0</v>
      </c>
      <c r="H195" s="462">
        <f>Eingabetabelle!I101</f>
        <v>0</v>
      </c>
      <c r="I195" s="462">
        <f>Eingabetabelle!J101</f>
        <v>0</v>
      </c>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7"/>
      <c r="AN195" s="287"/>
      <c r="AO195" s="287"/>
      <c r="AP195" s="287"/>
      <c r="AQ195" s="287"/>
      <c r="AR195" s="287"/>
      <c r="AS195" s="287"/>
      <c r="AT195" s="287"/>
      <c r="AU195" s="287"/>
      <c r="AV195" s="287"/>
      <c r="AW195" s="287"/>
      <c r="AX195" s="287"/>
      <c r="AY195" s="287"/>
      <c r="AZ195" s="287"/>
      <c r="BA195" s="287"/>
      <c r="BB195" s="287"/>
      <c r="BC195" s="287"/>
      <c r="BD195" s="287"/>
      <c r="BE195" s="287"/>
      <c r="BF195" s="287"/>
      <c r="BG195" s="287"/>
      <c r="BH195" s="287"/>
      <c r="BI195" s="287"/>
      <c r="BJ195" s="287"/>
      <c r="BK195" s="287"/>
      <c r="BL195" s="287"/>
    </row>
    <row r="196" spans="1:64" ht="20.100000000000001" hidden="1" customHeight="1">
      <c r="A196" s="611" t="s">
        <v>206</v>
      </c>
      <c r="B196" s="506"/>
      <c r="C196" s="535">
        <f>Eingabetabelle!D95</f>
        <v>0</v>
      </c>
      <c r="D196" s="535">
        <f>Eingabetabelle!E95</f>
        <v>0</v>
      </c>
      <c r="E196" s="535">
        <f>Eingabetabelle!F95</f>
        <v>0</v>
      </c>
      <c r="F196" s="535">
        <f>Eingabetabelle!G95</f>
        <v>0</v>
      </c>
      <c r="G196" s="535">
        <f>Eingabetabelle!H95</f>
        <v>0</v>
      </c>
      <c r="H196" s="535">
        <f>Eingabetabelle!I95</f>
        <v>0</v>
      </c>
      <c r="I196" s="535">
        <f>Eingabetabelle!J95</f>
        <v>0</v>
      </c>
      <c r="J196" s="287"/>
      <c r="K196" s="287"/>
      <c r="L196" s="287"/>
      <c r="M196" s="287"/>
      <c r="N196" s="287"/>
      <c r="O196" s="287"/>
      <c r="P196" s="287"/>
      <c r="Q196" s="287"/>
      <c r="R196" s="287"/>
      <c r="S196" s="287"/>
      <c r="T196" s="287"/>
      <c r="U196" s="287"/>
      <c r="V196" s="287"/>
      <c r="W196" s="287"/>
      <c r="X196" s="287"/>
      <c r="Y196" s="287"/>
      <c r="Z196" s="287"/>
      <c r="AA196" s="287"/>
      <c r="AB196" s="287"/>
      <c r="AC196" s="287"/>
      <c r="AD196" s="287"/>
      <c r="AE196" s="287"/>
      <c r="AF196" s="287"/>
      <c r="AG196" s="287"/>
      <c r="AH196" s="287"/>
      <c r="AI196" s="287"/>
      <c r="AJ196" s="287"/>
      <c r="AK196" s="287"/>
      <c r="AL196" s="287"/>
      <c r="AM196" s="287"/>
      <c r="AN196" s="287"/>
      <c r="AO196" s="287"/>
      <c r="AP196" s="287"/>
      <c r="AQ196" s="287"/>
      <c r="AR196" s="287"/>
      <c r="AS196" s="287"/>
      <c r="AT196" s="287"/>
      <c r="AU196" s="287"/>
      <c r="AV196" s="287"/>
      <c r="AW196" s="287"/>
      <c r="AX196" s="287"/>
      <c r="AY196" s="287"/>
      <c r="AZ196" s="287"/>
      <c r="BA196" s="287"/>
      <c r="BB196" s="287"/>
      <c r="BC196" s="287"/>
      <c r="BD196" s="287"/>
      <c r="BE196" s="287"/>
      <c r="BF196" s="287"/>
      <c r="BG196" s="287"/>
      <c r="BH196" s="287"/>
      <c r="BI196" s="287"/>
      <c r="BJ196" s="287"/>
      <c r="BK196" s="287"/>
      <c r="BL196" s="287"/>
    </row>
    <row r="197" spans="1:64" ht="20.100000000000001" hidden="1" customHeight="1">
      <c r="A197" s="600" t="s">
        <v>92</v>
      </c>
      <c r="B197" s="506"/>
      <c r="C197" s="535">
        <f>Eingabetabelle!D105</f>
        <v>0</v>
      </c>
      <c r="D197" s="535">
        <f>Eingabetabelle!E105</f>
        <v>0</v>
      </c>
      <c r="E197" s="399"/>
      <c r="F197" s="371"/>
      <c r="G197" s="371"/>
      <c r="H197" s="371"/>
      <c r="I197" s="612"/>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287"/>
      <c r="AJ197" s="287"/>
      <c r="AK197" s="287"/>
      <c r="AL197" s="287"/>
      <c r="AM197" s="287"/>
      <c r="AN197" s="287"/>
      <c r="AO197" s="287"/>
      <c r="AP197" s="287"/>
      <c r="AQ197" s="287"/>
      <c r="AR197" s="287"/>
      <c r="AS197" s="287"/>
      <c r="AT197" s="287"/>
      <c r="AU197" s="287"/>
      <c r="AV197" s="287"/>
      <c r="AW197" s="287"/>
      <c r="AX197" s="287"/>
      <c r="AY197" s="287"/>
      <c r="AZ197" s="287"/>
      <c r="BA197" s="287"/>
      <c r="BB197" s="287"/>
      <c r="BC197" s="287"/>
      <c r="BD197" s="287"/>
      <c r="BE197" s="287"/>
      <c r="BF197" s="287"/>
      <c r="BG197" s="287"/>
      <c r="BH197" s="287"/>
      <c r="BI197" s="287"/>
      <c r="BJ197" s="287"/>
      <c r="BK197" s="287"/>
      <c r="BL197" s="287"/>
    </row>
    <row r="198" spans="1:64" ht="20.100000000000001" hidden="1" customHeight="1">
      <c r="A198" s="464" t="str">
        <f>Eingabetabelle!A106</f>
        <v>Leistungen der Renten- und Krankenvers. (siehe Liste)</v>
      </c>
      <c r="B198" s="359"/>
      <c r="C198" s="433">
        <f>Eingabetabelle!D106</f>
        <v>0</v>
      </c>
      <c r="D198" s="433">
        <f>Eingabetabelle!E106</f>
        <v>0</v>
      </c>
      <c r="E198" s="433">
        <f>Eingabetabelle!F106</f>
        <v>0</v>
      </c>
      <c r="F198" s="433">
        <f>Eingabetabelle!G106</f>
        <v>0</v>
      </c>
      <c r="G198" s="433">
        <f>Eingabetabelle!H106</f>
        <v>0</v>
      </c>
      <c r="H198" s="433">
        <f>Eingabetabelle!I106</f>
        <v>0</v>
      </c>
      <c r="I198" s="433">
        <f>Eingabetabelle!J106</f>
        <v>0</v>
      </c>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c r="AH198" s="287"/>
      <c r="AI198" s="287"/>
      <c r="AJ198" s="287"/>
      <c r="AK198" s="287"/>
      <c r="AL198" s="287"/>
      <c r="AM198" s="287"/>
      <c r="AN198" s="287"/>
      <c r="AO198" s="287"/>
      <c r="AP198" s="287"/>
      <c r="AQ198" s="287"/>
      <c r="AR198" s="287"/>
      <c r="AS198" s="287"/>
      <c r="AT198" s="287"/>
      <c r="AU198" s="287"/>
      <c r="AV198" s="287"/>
      <c r="AW198" s="287"/>
      <c r="AX198" s="287"/>
      <c r="AY198" s="287"/>
      <c r="AZ198" s="287"/>
      <c r="BA198" s="287"/>
      <c r="BB198" s="287"/>
      <c r="BC198" s="287"/>
      <c r="BD198" s="287"/>
      <c r="BE198" s="287"/>
      <c r="BF198" s="287"/>
      <c r="BG198" s="287"/>
      <c r="BH198" s="287"/>
      <c r="BI198" s="287"/>
      <c r="BJ198" s="287"/>
      <c r="BK198" s="287"/>
      <c r="BL198" s="287"/>
    </row>
    <row r="199" spans="1:64" ht="20.100000000000001" hidden="1" customHeight="1">
      <c r="A199" s="481" t="s">
        <v>207</v>
      </c>
      <c r="B199" s="445"/>
      <c r="C199" s="538">
        <f>SUM(Eingabetabelle!D102+Eingabetabelle!D107+Eingabetabelle!D108+Eingabetabelle!D109)</f>
        <v>0</v>
      </c>
      <c r="D199" s="538">
        <f>SUM(Eingabetabelle!E102+Eingabetabelle!E107+Eingabetabelle!E108+Eingabetabelle!E109)</f>
        <v>0</v>
      </c>
      <c r="E199" s="538">
        <f>SUM(Eingabetabelle!F102+Eingabetabelle!F107+Eingabetabelle!F108+Eingabetabelle!F109)</f>
        <v>0</v>
      </c>
      <c r="F199" s="538">
        <f>SUM(Eingabetabelle!G102+Eingabetabelle!G107+Eingabetabelle!G108+Eingabetabelle!G109)</f>
        <v>0</v>
      </c>
      <c r="G199" s="538">
        <f>SUM(Eingabetabelle!H102+Eingabetabelle!H107+Eingabetabelle!H108+Eingabetabelle!H109)</f>
        <v>0</v>
      </c>
      <c r="H199" s="538">
        <f>SUM(Eingabetabelle!I102+Eingabetabelle!I107+Eingabetabelle!I108+Eingabetabelle!I109)</f>
        <v>0</v>
      </c>
      <c r="I199" s="538">
        <f>SUM(Eingabetabelle!J102+Eingabetabelle!J107+Eingabetabelle!J108+Eingabetabelle!J109)</f>
        <v>0</v>
      </c>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287"/>
      <c r="AJ199" s="287"/>
      <c r="AK199" s="287"/>
      <c r="AL199" s="287"/>
      <c r="AM199" s="287"/>
      <c r="AN199" s="287"/>
      <c r="AO199" s="287"/>
      <c r="AP199" s="287"/>
      <c r="AQ199" s="287"/>
      <c r="AR199" s="287"/>
      <c r="AS199" s="287"/>
      <c r="AT199" s="287"/>
      <c r="AU199" s="287"/>
      <c r="AV199" s="287"/>
      <c r="AW199" s="287"/>
      <c r="AX199" s="287"/>
      <c r="AY199" s="287"/>
      <c r="AZ199" s="287"/>
      <c r="BA199" s="287"/>
      <c r="BB199" s="287"/>
      <c r="BC199" s="287"/>
      <c r="BD199" s="287"/>
      <c r="BE199" s="287"/>
      <c r="BF199" s="287"/>
      <c r="BG199" s="287"/>
      <c r="BH199" s="287"/>
      <c r="BI199" s="287"/>
      <c r="BJ199" s="287"/>
      <c r="BK199" s="287"/>
      <c r="BL199" s="287"/>
    </row>
    <row r="200" spans="1:64" ht="20.100000000000001" hidden="1" customHeight="1">
      <c r="A200" s="613"/>
      <c r="B200" s="526"/>
      <c r="C200" s="527">
        <f t="shared" ref="C200:I200" si="63">C174+C180+C192+C195+C196+C197+C198+C199</f>
        <v>0</v>
      </c>
      <c r="D200" s="527">
        <f t="shared" si="63"/>
        <v>0</v>
      </c>
      <c r="E200" s="527">
        <f t="shared" si="63"/>
        <v>0</v>
      </c>
      <c r="F200" s="527">
        <f t="shared" si="63"/>
        <v>0</v>
      </c>
      <c r="G200" s="527">
        <f t="shared" si="63"/>
        <v>0</v>
      </c>
      <c r="H200" s="527">
        <f t="shared" si="63"/>
        <v>0</v>
      </c>
      <c r="I200" s="528">
        <f t="shared" si="63"/>
        <v>0</v>
      </c>
      <c r="J200" s="287"/>
      <c r="K200" s="287"/>
      <c r="L200" s="287"/>
      <c r="M200" s="287"/>
      <c r="N200" s="287"/>
      <c r="O200" s="287"/>
      <c r="P200" s="287"/>
      <c r="Q200" s="287"/>
      <c r="R200" s="287"/>
      <c r="S200" s="287"/>
      <c r="T200" s="287"/>
      <c r="U200" s="287"/>
      <c r="V200" s="287"/>
      <c r="W200" s="287"/>
      <c r="X200" s="287"/>
      <c r="Y200" s="287"/>
      <c r="Z200" s="287"/>
      <c r="AA200" s="287"/>
      <c r="AB200" s="287"/>
      <c r="AC200" s="287"/>
      <c r="AD200" s="287"/>
      <c r="AE200" s="287"/>
      <c r="AF200" s="287"/>
      <c r="AG200" s="287"/>
      <c r="AH200" s="287"/>
      <c r="AI200" s="287"/>
      <c r="AJ200" s="287"/>
      <c r="AK200" s="287"/>
      <c r="AL200" s="287"/>
      <c r="AM200" s="287"/>
      <c r="AN200" s="287"/>
      <c r="AO200" s="287"/>
      <c r="AP200" s="287"/>
      <c r="AQ200" s="287"/>
      <c r="AR200" s="287"/>
      <c r="AS200" s="287"/>
      <c r="AT200" s="287"/>
      <c r="AU200" s="287"/>
      <c r="AV200" s="287"/>
      <c r="AW200" s="287"/>
      <c r="AX200" s="287"/>
      <c r="AY200" s="287"/>
      <c r="AZ200" s="287"/>
      <c r="BA200" s="287"/>
      <c r="BB200" s="287"/>
      <c r="BC200" s="287"/>
      <c r="BD200" s="287"/>
      <c r="BE200" s="287"/>
      <c r="BF200" s="287"/>
      <c r="BG200" s="287"/>
      <c r="BH200" s="287"/>
      <c r="BI200" s="287"/>
      <c r="BJ200" s="287"/>
      <c r="BK200" s="287"/>
      <c r="BL200" s="287"/>
    </row>
    <row r="201" spans="1:64" ht="21" hidden="1" customHeight="1">
      <c r="A201" s="614" t="s">
        <v>208</v>
      </c>
      <c r="B201" s="341"/>
      <c r="C201" s="341">
        <f t="shared" ref="C201:I201" si="64">C192+C195+C196+C197+C198+C199+C141+C139+C174+C180</f>
        <v>0</v>
      </c>
      <c r="D201" s="341">
        <f t="shared" si="64"/>
        <v>0</v>
      </c>
      <c r="E201" s="341">
        <f t="shared" si="64"/>
        <v>0</v>
      </c>
      <c r="F201" s="341">
        <f t="shared" si="64"/>
        <v>0</v>
      </c>
      <c r="G201" s="341">
        <f t="shared" si="64"/>
        <v>0</v>
      </c>
      <c r="H201" s="341">
        <f t="shared" si="64"/>
        <v>0</v>
      </c>
      <c r="I201" s="342">
        <f t="shared" si="64"/>
        <v>0</v>
      </c>
      <c r="J201" s="287"/>
      <c r="K201" s="287"/>
      <c r="L201" s="287"/>
      <c r="M201" s="287"/>
      <c r="N201" s="287"/>
      <c r="O201" s="287"/>
      <c r="P201" s="287"/>
      <c r="Q201" s="287"/>
      <c r="R201" s="287"/>
      <c r="S201" s="287"/>
      <c r="T201" s="287"/>
      <c r="U201" s="287"/>
      <c r="V201" s="287"/>
      <c r="W201" s="287"/>
      <c r="X201" s="287"/>
      <c r="Y201" s="287"/>
      <c r="Z201" s="287"/>
      <c r="AA201" s="287"/>
      <c r="AB201" s="287"/>
      <c r="AC201" s="287"/>
      <c r="AD201" s="287"/>
      <c r="AE201" s="287"/>
      <c r="AF201" s="287"/>
      <c r="AG201" s="287"/>
      <c r="AH201" s="287"/>
      <c r="AI201" s="287"/>
      <c r="AJ201" s="287"/>
      <c r="AK201" s="287"/>
      <c r="AL201" s="287"/>
      <c r="AM201" s="287"/>
      <c r="AN201" s="287"/>
      <c r="AO201" s="287"/>
      <c r="AP201" s="287"/>
      <c r="AQ201" s="287"/>
      <c r="AR201" s="287"/>
      <c r="AS201" s="287"/>
      <c r="AT201" s="287"/>
      <c r="AU201" s="287"/>
      <c r="AV201" s="287"/>
      <c r="AW201" s="287"/>
      <c r="AX201" s="287"/>
      <c r="AY201" s="287"/>
      <c r="AZ201" s="287"/>
      <c r="BA201" s="287"/>
      <c r="BB201" s="287"/>
      <c r="BC201" s="287"/>
      <c r="BD201" s="287"/>
      <c r="BE201" s="287"/>
      <c r="BF201" s="287"/>
      <c r="BG201" s="287"/>
      <c r="BH201" s="287"/>
      <c r="BI201" s="287"/>
      <c r="BJ201" s="287"/>
      <c r="BK201" s="287"/>
      <c r="BL201" s="287"/>
    </row>
    <row r="202" spans="1:64" ht="22.15" hidden="1" customHeight="1">
      <c r="A202" s="615" t="s">
        <v>209</v>
      </c>
      <c r="B202" s="616" t="s">
        <v>141</v>
      </c>
      <c r="C202" s="616" t="str">
        <f t="shared" ref="C202:I202" si="65">C4</f>
        <v>Antragsteller</v>
      </c>
      <c r="D202" s="616" t="str">
        <f t="shared" si="65"/>
        <v>Partner(in)</v>
      </c>
      <c r="E202" s="616" t="str">
        <f t="shared" si="65"/>
        <v>Kind 1</v>
      </c>
      <c r="F202" s="616" t="str">
        <f t="shared" si="65"/>
        <v>Kind 2</v>
      </c>
      <c r="G202" s="616" t="str">
        <f t="shared" si="65"/>
        <v>Kind 3</v>
      </c>
      <c r="H202" s="616" t="str">
        <f t="shared" si="65"/>
        <v>Kind 4</v>
      </c>
      <c r="I202" s="617" t="str">
        <f t="shared" si="65"/>
        <v>Kind 5</v>
      </c>
      <c r="J202" s="287"/>
      <c r="K202" s="287"/>
      <c r="L202" s="287"/>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c r="AH202" s="287"/>
      <c r="AI202" s="287"/>
      <c r="AJ202" s="287"/>
      <c r="AK202" s="287"/>
      <c r="AL202" s="287"/>
      <c r="AM202" s="287"/>
      <c r="AN202" s="287"/>
      <c r="AO202" s="287"/>
      <c r="AP202" s="287"/>
      <c r="AQ202" s="287"/>
      <c r="AR202" s="287"/>
      <c r="AS202" s="287"/>
      <c r="AT202" s="287"/>
      <c r="AU202" s="287"/>
      <c r="AV202" s="287"/>
      <c r="AW202" s="287"/>
      <c r="AX202" s="287"/>
      <c r="AY202" s="287"/>
      <c r="AZ202" s="287"/>
      <c r="BA202" s="287"/>
      <c r="BB202" s="287"/>
      <c r="BC202" s="287"/>
      <c r="BD202" s="287"/>
      <c r="BE202" s="287"/>
      <c r="BF202" s="287"/>
      <c r="BG202" s="287"/>
      <c r="BH202" s="287"/>
      <c r="BI202" s="287"/>
      <c r="BJ202" s="287"/>
      <c r="BK202" s="287"/>
      <c r="BL202" s="287"/>
    </row>
    <row r="203" spans="1:64" ht="20.100000000000001" hidden="1" customHeight="1">
      <c r="A203" s="303" t="s">
        <v>210</v>
      </c>
      <c r="B203" s="359"/>
      <c r="C203" s="522">
        <f t="shared" ref="C203:I203" si="66">IF(AND(C18&gt;17,C18&lt;113,C201&gt;0),30,0)</f>
        <v>0</v>
      </c>
      <c r="D203" s="522">
        <f t="shared" si="66"/>
        <v>0</v>
      </c>
      <c r="E203" s="522">
        <f t="shared" si="66"/>
        <v>0</v>
      </c>
      <c r="F203" s="522">
        <f t="shared" si="66"/>
        <v>0</v>
      </c>
      <c r="G203" s="522">
        <f t="shared" si="66"/>
        <v>0</v>
      </c>
      <c r="H203" s="522">
        <f t="shared" si="66"/>
        <v>0</v>
      </c>
      <c r="I203" s="523">
        <f t="shared" si="66"/>
        <v>0</v>
      </c>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c r="AV203" s="287"/>
      <c r="AW203" s="287"/>
      <c r="AX203" s="287"/>
      <c r="AY203" s="287"/>
      <c r="AZ203" s="287"/>
      <c r="BA203" s="287"/>
      <c r="BB203" s="287"/>
      <c r="BC203" s="287"/>
      <c r="BD203" s="287"/>
      <c r="BE203" s="287"/>
      <c r="BF203" s="287"/>
      <c r="BG203" s="287"/>
      <c r="BH203" s="287"/>
      <c r="BI203" s="287"/>
      <c r="BJ203" s="287"/>
      <c r="BK203" s="287"/>
      <c r="BL203" s="287"/>
    </row>
    <row r="204" spans="1:64" ht="20.100000000000001" hidden="1" customHeight="1">
      <c r="A204" s="303" t="s">
        <v>211</v>
      </c>
      <c r="B204" s="359"/>
      <c r="C204" s="433">
        <f>Eingabetabelle!D78/12</f>
        <v>0</v>
      </c>
      <c r="D204" s="433">
        <f>Eingabetabelle!E78/12</f>
        <v>0</v>
      </c>
      <c r="E204" s="433">
        <f>Eingabetabelle!F78/12</f>
        <v>0</v>
      </c>
      <c r="F204" s="433">
        <f>Eingabetabelle!G78/12</f>
        <v>0</v>
      </c>
      <c r="G204" s="433">
        <f>Eingabetabelle!H78/12</f>
        <v>0</v>
      </c>
      <c r="H204" s="433">
        <f>Eingabetabelle!I78/12</f>
        <v>0</v>
      </c>
      <c r="I204" s="433">
        <f>Eingabetabelle!J78/12</f>
        <v>0</v>
      </c>
      <c r="J204" s="287"/>
      <c r="K204" s="287"/>
      <c r="L204" s="287"/>
      <c r="M204" s="287"/>
      <c r="N204" s="287"/>
      <c r="O204" s="287"/>
      <c r="P204" s="287"/>
      <c r="Q204" s="287"/>
      <c r="R204" s="287"/>
      <c r="S204" s="287"/>
      <c r="T204" s="287"/>
      <c r="U204" s="287"/>
      <c r="V204" s="287"/>
      <c r="W204" s="287"/>
      <c r="X204" s="287"/>
      <c r="Y204" s="287"/>
      <c r="Z204" s="287"/>
      <c r="AA204" s="287"/>
      <c r="AB204" s="287"/>
      <c r="AC204" s="287"/>
      <c r="AD204" s="287"/>
      <c r="AE204" s="287"/>
      <c r="AF204" s="287"/>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c r="BB204" s="287"/>
      <c r="BC204" s="287"/>
      <c r="BD204" s="287"/>
      <c r="BE204" s="287"/>
      <c r="BF204" s="287"/>
      <c r="BG204" s="287"/>
      <c r="BH204" s="287"/>
      <c r="BI204" s="287"/>
      <c r="BJ204" s="287"/>
      <c r="BK204" s="287"/>
      <c r="BL204" s="287"/>
    </row>
    <row r="205" spans="1:64" ht="20.100000000000001" hidden="1" customHeight="1">
      <c r="A205" s="162" t="s">
        <v>71</v>
      </c>
      <c r="B205" s="445"/>
      <c r="C205" s="618">
        <f>Eingabetabelle!D74</f>
        <v>0</v>
      </c>
      <c r="D205" s="618">
        <f>Eingabetabelle!E74</f>
        <v>0</v>
      </c>
      <c r="E205" s="618">
        <f>Eingabetabelle!F74</f>
        <v>0</v>
      </c>
      <c r="F205" s="618">
        <f>Eingabetabelle!G73</f>
        <v>0</v>
      </c>
      <c r="G205" s="618">
        <f>Eingabetabelle!H73</f>
        <v>0</v>
      </c>
      <c r="H205" s="618">
        <f>Eingabetabelle!I73</f>
        <v>0</v>
      </c>
      <c r="I205" s="618">
        <f>Eingabetabelle!J73</f>
        <v>0</v>
      </c>
      <c r="J205" s="340"/>
    </row>
    <row r="206" spans="1:64" ht="20.100000000000001" hidden="1" customHeight="1">
      <c r="A206" s="619"/>
      <c r="B206" s="620"/>
      <c r="C206" s="621"/>
      <c r="D206" s="622"/>
      <c r="E206" s="622"/>
      <c r="F206" s="622"/>
      <c r="G206" s="623"/>
      <c r="H206" s="623"/>
      <c r="I206" s="624"/>
      <c r="J206" s="340"/>
    </row>
    <row r="207" spans="1:64" ht="20.100000000000001" hidden="1" customHeight="1">
      <c r="A207" s="625" t="s">
        <v>212</v>
      </c>
      <c r="B207" s="626">
        <f>COUNTIF(C207:F207,"ja")</f>
        <v>0</v>
      </c>
      <c r="C207" s="627" t="str">
        <f>Eingabetabelle!D85</f>
        <v>Nein</v>
      </c>
      <c r="D207" s="627" t="str">
        <f>Eingabetabelle!E85</f>
        <v>Nein</v>
      </c>
      <c r="E207" s="627" t="str">
        <f>Eingabetabelle!F85</f>
        <v>Nein</v>
      </c>
      <c r="F207" s="627" t="str">
        <f>Eingabetabelle!G85</f>
        <v>Nein</v>
      </c>
      <c r="G207" s="549"/>
      <c r="H207" s="549"/>
      <c r="I207" s="550"/>
    </row>
    <row r="208" spans="1:64" ht="20.100000000000001" hidden="1" customHeight="1">
      <c r="A208" s="628" t="s">
        <v>213</v>
      </c>
      <c r="B208" s="629"/>
      <c r="C208" s="313">
        <f>C138+C140+C165+C174+C180+C192+C193+C196+C197+C198+C199</f>
        <v>0</v>
      </c>
      <c r="D208" s="313">
        <f>D138+D140+D165+D174+D180+D192+D193+D196+D197+D198+D199</f>
        <v>0</v>
      </c>
      <c r="E208" s="313">
        <f>E138+E140+E165+E174+E180+E192+E193+E196+E197+E198+E199</f>
        <v>0</v>
      </c>
      <c r="F208" s="313">
        <f>F138+F140+F165+F174+F180+F192+F193+F196+F197+F198+F199</f>
        <v>0</v>
      </c>
      <c r="G208" s="630"/>
      <c r="H208" s="394"/>
      <c r="I208" s="459"/>
    </row>
    <row r="209" spans="1:64" ht="20.100000000000001" hidden="1" customHeight="1">
      <c r="A209" s="542">
        <f>IF(B207&gt;0,"zulageberechtigte Kinder im Haushalt des LB",0)</f>
        <v>0</v>
      </c>
      <c r="B209" s="359"/>
      <c r="C209" s="631">
        <f>IF($B$207&gt;0,$B$192,0)</f>
        <v>0</v>
      </c>
      <c r="D209" s="631">
        <f>IF($B$207&gt;0,$B$192,0)</f>
        <v>0</v>
      </c>
      <c r="E209" s="631">
        <f>IF($B$207&gt;0,$B$192,0)</f>
        <v>0</v>
      </c>
      <c r="F209" s="631">
        <f>IF($B$207&gt;0,$B$192,0)</f>
        <v>0</v>
      </c>
      <c r="G209" s="588"/>
      <c r="H209" s="394"/>
      <c r="I209" s="459"/>
    </row>
    <row r="210" spans="1:64" ht="20.100000000000001" hidden="1" customHeight="1">
      <c r="A210" s="303"/>
      <c r="B210" s="359"/>
      <c r="C210" s="632">
        <f>IF(C209=1,C208*0.015,IF(C209&gt;1,5,C208*0.03))</f>
        <v>0</v>
      </c>
      <c r="D210" s="499">
        <f>IF(D209=1,D208*0.015,IF(D209&gt;1,5,D208*0.03))</f>
        <v>0</v>
      </c>
      <c r="E210" s="385">
        <f>E208*0.03</f>
        <v>0</v>
      </c>
      <c r="F210" s="385">
        <f>F208*0.03</f>
        <v>0</v>
      </c>
      <c r="G210" s="633"/>
      <c r="H210" s="381"/>
      <c r="I210" s="382"/>
    </row>
    <row r="211" spans="1:64" ht="15.75" hidden="1">
      <c r="A211" s="590"/>
      <c r="B211" s="526"/>
      <c r="C211" s="634">
        <f>IF(C207="Nein",0,IF(C210&lt;5,5,C210))</f>
        <v>0</v>
      </c>
      <c r="D211" s="634">
        <f>IF(D207="Nein",0,IF(D210&lt;5,5,D210))</f>
        <v>0</v>
      </c>
      <c r="E211" s="634">
        <f>IF(E207="Nein",0,IF(E210&lt;5,5,E210))</f>
        <v>0</v>
      </c>
      <c r="F211" s="634">
        <f>IF(F207="Nein",0,IF(F210&lt;5,5,F210))</f>
        <v>0</v>
      </c>
      <c r="G211" s="634"/>
      <c r="H211" s="634"/>
      <c r="I211" s="635"/>
    </row>
    <row r="212" spans="1:64" ht="15.75" hidden="1">
      <c r="A212" s="400"/>
      <c r="B212" s="636"/>
      <c r="C212" s="637">
        <f>IF(C207="1",C211,0)</f>
        <v>0</v>
      </c>
      <c r="D212" s="637">
        <f>IF(D207="1",D211,0)</f>
        <v>0</v>
      </c>
      <c r="E212" s="637">
        <f>IF(E207="1",E211,0)</f>
        <v>0</v>
      </c>
      <c r="F212" s="637">
        <f>IF(F207="1",F211,0)</f>
        <v>0</v>
      </c>
      <c r="G212" s="637"/>
      <c r="H212" s="637"/>
      <c r="I212" s="638"/>
    </row>
    <row r="213" spans="1:64" ht="15.75" hidden="1">
      <c r="A213" s="400"/>
      <c r="B213" s="636"/>
      <c r="C213" s="637">
        <f>IF(C208&gt;0,C212,0)</f>
        <v>0</v>
      </c>
      <c r="D213" s="637">
        <f>IF(D208&gt;0,D212,0)</f>
        <v>0</v>
      </c>
      <c r="E213" s="637">
        <f>IF(E208&gt;0,E212,0)</f>
        <v>0</v>
      </c>
      <c r="F213" s="637">
        <f>IF(F208&gt;0,F212,0)</f>
        <v>0</v>
      </c>
      <c r="G213" s="637"/>
      <c r="H213" s="637"/>
      <c r="I213" s="638"/>
    </row>
    <row r="214" spans="1:64" ht="15.75" hidden="1">
      <c r="A214" s="639" t="s">
        <v>214</v>
      </c>
      <c r="B214" s="640"/>
      <c r="C214" s="641">
        <f t="shared" ref="C214:I214" si="67">IF((C204+C205)&gt;0,C204+C205+C212,C203+C204+C205+C212)</f>
        <v>0</v>
      </c>
      <c r="D214" s="641">
        <f t="shared" si="67"/>
        <v>0</v>
      </c>
      <c r="E214" s="641">
        <f t="shared" si="67"/>
        <v>0</v>
      </c>
      <c r="F214" s="641">
        <f t="shared" si="67"/>
        <v>0</v>
      </c>
      <c r="G214" s="641">
        <f t="shared" si="67"/>
        <v>0</v>
      </c>
      <c r="H214" s="641">
        <f t="shared" si="67"/>
        <v>0</v>
      </c>
      <c r="I214" s="641">
        <f t="shared" si="67"/>
        <v>0</v>
      </c>
    </row>
    <row r="215" spans="1:64" ht="15.75" hidden="1">
      <c r="A215" s="639" t="s">
        <v>215</v>
      </c>
      <c r="B215" s="640"/>
      <c r="C215" s="641">
        <f t="shared" ref="C215:I215" si="68">C214+C124+C127+C148</f>
        <v>0</v>
      </c>
      <c r="D215" s="641">
        <f t="shared" si="68"/>
        <v>0</v>
      </c>
      <c r="E215" s="641">
        <f t="shared" si="68"/>
        <v>0</v>
      </c>
      <c r="F215" s="641">
        <f t="shared" si="68"/>
        <v>0</v>
      </c>
      <c r="G215" s="641">
        <f t="shared" si="68"/>
        <v>0</v>
      </c>
      <c r="H215" s="641">
        <f t="shared" si="68"/>
        <v>0</v>
      </c>
      <c r="I215" s="642">
        <f t="shared" si="68"/>
        <v>0</v>
      </c>
    </row>
    <row r="216" spans="1:64" ht="15.75" hidden="1">
      <c r="A216" s="643"/>
      <c r="B216" s="506"/>
      <c r="C216" s="462">
        <f t="shared" ref="C216:I216" si="69">IF(C215&lt;100,100,C215)</f>
        <v>100</v>
      </c>
      <c r="D216" s="462">
        <f t="shared" si="69"/>
        <v>100</v>
      </c>
      <c r="E216" s="462">
        <f t="shared" si="69"/>
        <v>100</v>
      </c>
      <c r="F216" s="462">
        <f t="shared" si="69"/>
        <v>100</v>
      </c>
      <c r="G216" s="462">
        <f t="shared" si="69"/>
        <v>100</v>
      </c>
      <c r="H216" s="462">
        <f t="shared" si="69"/>
        <v>100</v>
      </c>
      <c r="I216" s="365">
        <f t="shared" si="69"/>
        <v>100</v>
      </c>
    </row>
    <row r="217" spans="1:64" ht="15.75" hidden="1">
      <c r="A217" s="643"/>
      <c r="B217" s="506"/>
      <c r="C217" s="462">
        <f t="shared" ref="C217:I217" si="70">IF(C215&lt;Ehrenamt,Ehrenamt,C215)</f>
        <v>250</v>
      </c>
      <c r="D217" s="462">
        <f t="shared" si="70"/>
        <v>250</v>
      </c>
      <c r="E217" s="462">
        <f t="shared" si="70"/>
        <v>250</v>
      </c>
      <c r="F217" s="462">
        <f t="shared" si="70"/>
        <v>250</v>
      </c>
      <c r="G217" s="462">
        <f t="shared" si="70"/>
        <v>250</v>
      </c>
      <c r="H217" s="462">
        <f t="shared" si="70"/>
        <v>250</v>
      </c>
      <c r="I217" s="462">
        <f t="shared" si="70"/>
        <v>250</v>
      </c>
    </row>
    <row r="218" spans="1:64" ht="33" hidden="1" customHeight="1">
      <c r="A218" s="644" t="s">
        <v>216</v>
      </c>
      <c r="B218" s="359"/>
      <c r="C218" s="433">
        <f>Eingabetabelle!D68+Eingabetabelle!D73</f>
        <v>0</v>
      </c>
      <c r="D218" s="433">
        <f>Eingabetabelle!E68+Eingabetabelle!E73</f>
        <v>0</v>
      </c>
      <c r="E218" s="433">
        <f>Eingabetabelle!F68+Eingabetabelle!F73</f>
        <v>0</v>
      </c>
      <c r="F218" s="433">
        <f>Eingabetabelle!G68+Eingabetabelle!G73</f>
        <v>0</v>
      </c>
      <c r="G218" s="433">
        <f>Eingabetabelle!H68+Eingabetabelle!H73</f>
        <v>0</v>
      </c>
      <c r="H218" s="433">
        <f>Eingabetabelle!I68+Eingabetabelle!I73</f>
        <v>0</v>
      </c>
      <c r="I218" s="433">
        <f>Eingabetabelle!J68+Eingabetabelle!J73</f>
        <v>0</v>
      </c>
    </row>
    <row r="219" spans="1:64" ht="20.100000000000001" hidden="1" customHeight="1">
      <c r="A219" s="645" t="s">
        <v>217</v>
      </c>
      <c r="B219" s="606"/>
      <c r="C219" s="607">
        <f>Eingabetabelle!D81</f>
        <v>0</v>
      </c>
      <c r="D219" s="607">
        <f>Eingabetabelle!E81</f>
        <v>0</v>
      </c>
      <c r="E219" s="373"/>
      <c r="F219" s="646"/>
      <c r="G219" s="646"/>
      <c r="H219" s="646"/>
      <c r="I219" s="647"/>
    </row>
    <row r="220" spans="1:64" ht="20.100000000000001" hidden="1" customHeight="1">
      <c r="A220" s="648" t="s">
        <v>218</v>
      </c>
      <c r="B220" s="649" t="s">
        <v>141</v>
      </c>
      <c r="C220" s="649" t="str">
        <f t="shared" ref="C220:I220" si="71">C4</f>
        <v>Antragsteller</v>
      </c>
      <c r="D220" s="649" t="str">
        <f t="shared" si="71"/>
        <v>Partner(in)</v>
      </c>
      <c r="E220" s="649" t="str">
        <f t="shared" si="71"/>
        <v>Kind 1</v>
      </c>
      <c r="F220" s="649" t="str">
        <f t="shared" si="71"/>
        <v>Kind 2</v>
      </c>
      <c r="G220" s="649" t="str">
        <f t="shared" si="71"/>
        <v>Kind 3</v>
      </c>
      <c r="H220" s="649" t="str">
        <f t="shared" si="71"/>
        <v>Kind 4</v>
      </c>
      <c r="I220" s="650" t="str">
        <f t="shared" si="71"/>
        <v>Kind 5</v>
      </c>
    </row>
    <row r="221" spans="1:64" ht="20.100000000000001" hidden="1" customHeight="1">
      <c r="A221" s="651" t="s">
        <v>219</v>
      </c>
      <c r="B221" s="652"/>
      <c r="C221" s="653"/>
      <c r="D221" s="653"/>
      <c r="E221" s="653"/>
      <c r="F221" s="653"/>
      <c r="G221" s="653"/>
      <c r="H221" s="653"/>
      <c r="I221" s="654"/>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7"/>
      <c r="AY221" s="287"/>
      <c r="AZ221" s="287"/>
      <c r="BA221" s="287"/>
      <c r="BB221" s="287"/>
      <c r="BC221" s="287"/>
      <c r="BD221" s="287"/>
      <c r="BE221" s="287"/>
      <c r="BF221" s="287"/>
      <c r="BG221" s="287"/>
      <c r="BH221" s="287"/>
      <c r="BI221" s="287"/>
      <c r="BJ221" s="287"/>
      <c r="BK221" s="287"/>
      <c r="BL221" s="287"/>
    </row>
    <row r="222" spans="1:64" ht="20.100000000000001" hidden="1" customHeight="1">
      <c r="A222" s="102" t="s">
        <v>220</v>
      </c>
      <c r="B222" s="655"/>
      <c r="C222" s="378"/>
      <c r="D222" s="378"/>
      <c r="E222" s="378"/>
      <c r="F222" s="378"/>
      <c r="G222" s="378"/>
      <c r="H222" s="378"/>
      <c r="I222" s="429"/>
      <c r="J222" s="287"/>
      <c r="K222" s="287"/>
      <c r="L222" s="287"/>
      <c r="M222" s="287"/>
      <c r="N222" s="287"/>
      <c r="O222" s="287"/>
      <c r="P222" s="287"/>
      <c r="Q222" s="287"/>
      <c r="R222" s="287"/>
      <c r="S222" s="287"/>
      <c r="T222" s="287"/>
      <c r="U222" s="287"/>
      <c r="V222" s="287"/>
      <c r="W222" s="287"/>
      <c r="X222" s="287"/>
      <c r="Y222" s="287"/>
      <c r="Z222" s="287"/>
      <c r="AA222" s="287"/>
      <c r="AB222" s="287"/>
      <c r="AC222" s="287"/>
      <c r="AD222" s="287"/>
      <c r="AE222" s="287"/>
      <c r="AF222" s="287"/>
      <c r="AG222" s="287"/>
      <c r="AH222" s="287"/>
      <c r="AI222" s="287"/>
      <c r="AJ222" s="287"/>
      <c r="AK222" s="287"/>
      <c r="AL222" s="287"/>
      <c r="AM222" s="287"/>
      <c r="AN222" s="287"/>
      <c r="AO222" s="287"/>
      <c r="AP222" s="287"/>
      <c r="AQ222" s="287"/>
      <c r="AR222" s="287"/>
      <c r="AS222" s="287"/>
      <c r="AT222" s="287"/>
      <c r="AU222" s="287"/>
      <c r="AV222" s="287"/>
      <c r="AW222" s="287"/>
      <c r="AX222" s="287"/>
      <c r="AY222" s="287"/>
      <c r="AZ222" s="287"/>
      <c r="BA222" s="287"/>
      <c r="BB222" s="287"/>
      <c r="BC222" s="287"/>
      <c r="BD222" s="287"/>
      <c r="BE222" s="287"/>
      <c r="BF222" s="287"/>
      <c r="BG222" s="287"/>
      <c r="BH222" s="287"/>
      <c r="BI222" s="287"/>
      <c r="BJ222" s="287"/>
      <c r="BK222" s="287"/>
      <c r="BL222" s="287"/>
    </row>
    <row r="223" spans="1:64" ht="20.100000000000001" hidden="1" customHeight="1">
      <c r="A223" s="102"/>
      <c r="B223" s="655"/>
      <c r="C223" s="656">
        <f>IF(C222="1. PV",C33*0.3,IF(C222="2. PV",C33*0.6,IF(C222="3. PV",A!C149,0)))</f>
        <v>0</v>
      </c>
      <c r="D223" s="656">
        <f>IF(D222="1. PV",D33*0.3,IF(D222="2. PV",D33*0.6,IF(D222="3. PV",A!D149,0)))</f>
        <v>0</v>
      </c>
      <c r="E223" s="656">
        <f>IF(E222="1. PV",E33*0.3,IF(E222="2. PV",E33*0.6,IF(E222="3. PV",A!E149,0)))</f>
        <v>0</v>
      </c>
      <c r="F223" s="657"/>
      <c r="G223" s="657"/>
      <c r="H223" s="657"/>
      <c r="I223" s="658"/>
      <c r="J223" s="287"/>
      <c r="K223" s="287"/>
      <c r="L223" s="287"/>
      <c r="M223" s="287"/>
      <c r="N223" s="287"/>
      <c r="O223" s="287"/>
      <c r="P223" s="287"/>
      <c r="Q223" s="287"/>
      <c r="R223" s="287"/>
      <c r="S223" s="287"/>
      <c r="T223" s="287"/>
      <c r="U223" s="287"/>
      <c r="V223" s="287"/>
      <c r="W223" s="287"/>
      <c r="X223" s="287"/>
      <c r="Y223" s="287"/>
      <c r="Z223" s="287"/>
      <c r="AA223" s="287"/>
      <c r="AB223" s="287"/>
      <c r="AC223" s="287"/>
      <c r="AD223" s="287"/>
      <c r="AE223" s="287"/>
      <c r="AF223" s="287"/>
      <c r="AG223" s="287"/>
      <c r="AH223" s="287"/>
      <c r="AI223" s="287"/>
      <c r="AJ223" s="287"/>
      <c r="AK223" s="287"/>
      <c r="AL223" s="287"/>
      <c r="AM223" s="287"/>
      <c r="AN223" s="287"/>
      <c r="AO223" s="287"/>
      <c r="AP223" s="287"/>
      <c r="AQ223" s="287"/>
      <c r="AR223" s="287"/>
      <c r="AS223" s="287"/>
      <c r="AT223" s="287"/>
      <c r="AU223" s="287"/>
      <c r="AV223" s="287"/>
      <c r="AW223" s="287"/>
      <c r="AX223" s="287"/>
      <c r="AY223" s="287"/>
      <c r="AZ223" s="287"/>
      <c r="BA223" s="287"/>
      <c r="BB223" s="287"/>
      <c r="BC223" s="287"/>
      <c r="BD223" s="287"/>
      <c r="BE223" s="287"/>
      <c r="BF223" s="287"/>
      <c r="BG223" s="287"/>
      <c r="BH223" s="287"/>
      <c r="BI223" s="287"/>
      <c r="BJ223" s="287"/>
      <c r="BK223" s="287"/>
      <c r="BL223" s="287"/>
    </row>
    <row r="224" spans="1:64" ht="20.100000000000001" hidden="1" customHeight="1">
      <c r="A224" s="102"/>
      <c r="B224" s="655"/>
      <c r="C224" s="656">
        <f>IF(C222="1. PV",A!C164,IF(C222="2. PV",A!C149,IF(C222="3. PV",A!C149,0)))</f>
        <v>0</v>
      </c>
      <c r="D224" s="656">
        <f>IF(D222="1. PV",A!D164,IF(D222="2. PV",A!D149,IF(D222="3. PV",A!D149,0)))</f>
        <v>0</v>
      </c>
      <c r="E224" s="656">
        <f>IF(E222="1. PV",A!E164,IF(E222="2. PV",A!E149,IF(E222="3. PV",A!E149,0)))</f>
        <v>0</v>
      </c>
      <c r="F224" s="656">
        <f>IF(F222="1. PV",A!F164,IF(F222="2. PV",A!F149,IF(F222="3. PV",A!F149,0)))</f>
        <v>0</v>
      </c>
      <c r="G224" s="656">
        <f>IF(G222="1. PV",A!G164,IF(G222="2. PV",A!G149,IF(G222="3. PV",A!G149,0)))</f>
        <v>0</v>
      </c>
      <c r="H224" s="656">
        <f>IF(H222="1. PV",A!H164,IF(H222="2. PV",A!H149,IF(H222="3. PV",A!H149,0)))</f>
        <v>0</v>
      </c>
      <c r="I224" s="659">
        <f>IF(I222="1. PV",A!I164,IF(I222="2. PV",A!I149,IF(I222="3. PV",A!I149,0)))</f>
        <v>0</v>
      </c>
      <c r="J224" s="287"/>
      <c r="K224" s="287"/>
      <c r="L224" s="287"/>
      <c r="M224" s="287"/>
      <c r="N224" s="287"/>
      <c r="O224" s="287"/>
      <c r="P224" s="287"/>
      <c r="Q224" s="287"/>
      <c r="R224" s="287"/>
      <c r="S224" s="287"/>
      <c r="T224" s="287"/>
      <c r="U224" s="287"/>
      <c r="V224" s="287"/>
      <c r="W224" s="287"/>
      <c r="X224" s="287"/>
      <c r="Y224" s="287"/>
      <c r="Z224" s="287"/>
      <c r="AA224" s="287"/>
      <c r="AB224" s="287"/>
      <c r="AC224" s="287"/>
      <c r="AD224" s="287"/>
      <c r="AE224" s="287"/>
      <c r="AF224" s="287"/>
      <c r="AG224" s="287"/>
      <c r="AH224" s="287"/>
      <c r="AI224" s="287"/>
      <c r="AJ224" s="287"/>
      <c r="AK224" s="287"/>
      <c r="AL224" s="287"/>
      <c r="AM224" s="287"/>
      <c r="AN224" s="287"/>
      <c r="AO224" s="287"/>
      <c r="AP224" s="287"/>
      <c r="AQ224" s="287"/>
      <c r="AR224" s="287"/>
      <c r="AS224" s="287"/>
      <c r="AT224" s="287"/>
      <c r="AU224" s="287"/>
      <c r="AV224" s="287"/>
      <c r="AW224" s="287"/>
      <c r="AX224" s="287"/>
      <c r="AY224" s="287"/>
      <c r="AZ224" s="287"/>
      <c r="BA224" s="287"/>
      <c r="BB224" s="287"/>
      <c r="BC224" s="287"/>
      <c r="BD224" s="287"/>
      <c r="BE224" s="287"/>
      <c r="BF224" s="287"/>
      <c r="BG224" s="287"/>
      <c r="BH224" s="287"/>
      <c r="BI224" s="287"/>
      <c r="BJ224" s="287"/>
      <c r="BK224" s="287"/>
      <c r="BL224" s="287"/>
    </row>
    <row r="225" spans="1:64" ht="20.100000000000001" hidden="1" customHeight="1">
      <c r="A225" s="102"/>
      <c r="B225" s="655"/>
      <c r="C225" s="656">
        <f>IF(C226="unter 25",C224,C223)</f>
        <v>0</v>
      </c>
      <c r="D225" s="656">
        <f>IF(D226="unter 25",D224,D223)</f>
        <v>0</v>
      </c>
      <c r="E225" s="656">
        <f>IF(E226="unter 25",E224,E223)</f>
        <v>0</v>
      </c>
      <c r="F225" s="657">
        <f>F224</f>
        <v>0</v>
      </c>
      <c r="G225" s="657">
        <f>G224</f>
        <v>0</v>
      </c>
      <c r="H225" s="657">
        <f>H224</f>
        <v>0</v>
      </c>
      <c r="I225" s="658">
        <f>I224</f>
        <v>0</v>
      </c>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c r="AH225" s="287"/>
      <c r="AI225" s="287"/>
      <c r="AJ225" s="287"/>
      <c r="AK225" s="287"/>
      <c r="AL225" s="287"/>
      <c r="AM225" s="287"/>
      <c r="AN225" s="287"/>
      <c r="AO225" s="287"/>
      <c r="AP225" s="287"/>
      <c r="AQ225" s="287"/>
      <c r="AR225" s="287"/>
      <c r="AS225" s="287"/>
      <c r="AT225" s="287"/>
      <c r="AU225" s="287"/>
      <c r="AV225" s="287"/>
      <c r="AW225" s="287"/>
      <c r="AX225" s="287"/>
      <c r="AY225" s="287"/>
      <c r="AZ225" s="287"/>
      <c r="BA225" s="287"/>
      <c r="BB225" s="287"/>
      <c r="BC225" s="287"/>
      <c r="BD225" s="287"/>
      <c r="BE225" s="287"/>
      <c r="BF225" s="287"/>
      <c r="BG225" s="287"/>
      <c r="BH225" s="287"/>
      <c r="BI225" s="287"/>
      <c r="BJ225" s="287"/>
      <c r="BK225" s="287"/>
      <c r="BL225" s="287"/>
    </row>
    <row r="226" spans="1:64" ht="20.100000000000001" hidden="1" customHeight="1">
      <c r="A226" s="347" t="s">
        <v>221</v>
      </c>
      <c r="B226" s="418"/>
      <c r="C226" s="660"/>
      <c r="D226" s="660"/>
      <c r="E226" s="660"/>
      <c r="F226" s="661"/>
      <c r="G226" s="662"/>
      <c r="H226" s="662"/>
      <c r="I226" s="663"/>
    </row>
    <row r="227" spans="1:64" ht="20.100000000000001" hidden="1" customHeight="1">
      <c r="A227" s="664" t="s">
        <v>222</v>
      </c>
      <c r="B227" s="665"/>
      <c r="C227" s="666"/>
      <c r="D227" s="666"/>
      <c r="E227" s="666"/>
      <c r="F227" s="666"/>
      <c r="G227" s="666"/>
      <c r="H227" s="666"/>
      <c r="I227" s="667"/>
    </row>
    <row r="228" spans="1:64" ht="20.100000000000001" hidden="1" customHeight="1">
      <c r="A228" s="347" t="s">
        <v>223</v>
      </c>
      <c r="B228" s="668">
        <f>SUM(C228:I228)</f>
        <v>0</v>
      </c>
      <c r="C228" s="669"/>
      <c r="D228" s="669"/>
      <c r="E228" s="669"/>
      <c r="F228" s="669"/>
      <c r="G228" s="669"/>
      <c r="H228" s="669"/>
      <c r="I228" s="670"/>
    </row>
    <row r="229" spans="1:64" ht="20.100000000000001" hidden="1" customHeight="1">
      <c r="A229" s="671" t="s">
        <v>224</v>
      </c>
      <c r="B229" s="652"/>
      <c r="C229" s="672" t="b">
        <f>FALSE()</f>
        <v>0</v>
      </c>
      <c r="D229" s="672" t="b">
        <f>TRUE()</f>
        <v>1</v>
      </c>
      <c r="E229" s="673"/>
      <c r="F229" s="673"/>
      <c r="G229" s="673"/>
      <c r="H229" s="673"/>
      <c r="I229" s="674"/>
    </row>
    <row r="230" spans="1:64" ht="20.100000000000001" hidden="1" customHeight="1">
      <c r="A230" s="675" t="s">
        <v>225</v>
      </c>
      <c r="B230" s="676"/>
      <c r="C230" s="677" t="s">
        <v>226</v>
      </c>
      <c r="D230" s="677" t="s">
        <v>227</v>
      </c>
      <c r="E230" s="677" t="s">
        <v>228</v>
      </c>
      <c r="F230" s="677" t="s">
        <v>229</v>
      </c>
      <c r="G230" s="677" t="s">
        <v>230</v>
      </c>
      <c r="H230" s="678"/>
      <c r="I230" s="679"/>
    </row>
    <row r="231" spans="1:64" ht="20.100000000000001" hidden="1" customHeight="1">
      <c r="A231" s="481" t="s">
        <v>231</v>
      </c>
      <c r="B231" s="418"/>
      <c r="C231" s="482"/>
      <c r="D231" s="680"/>
      <c r="E231" s="681">
        <f>F2</f>
        <v>44804</v>
      </c>
      <c r="F231" s="682">
        <f>IF(E231-D231+1&lt;30,E231-D231+1,30)</f>
        <v>30</v>
      </c>
      <c r="G231" s="683">
        <f>C231/30*F231</f>
        <v>0</v>
      </c>
      <c r="H231" s="662"/>
      <c r="I231" s="663"/>
    </row>
    <row r="232" spans="1:64" ht="11.65" hidden="1" customHeight="1">
      <c r="A232" s="671"/>
      <c r="B232" s="387"/>
      <c r="C232" s="673"/>
      <c r="D232" s="673"/>
      <c r="E232" s="673"/>
      <c r="F232" s="673"/>
      <c r="G232" s="673"/>
      <c r="H232" s="673"/>
      <c r="I232" s="674"/>
    </row>
    <row r="233" spans="1:64" ht="20.100000000000001" hidden="1" customHeight="1">
      <c r="A233" s="684" t="s">
        <v>232</v>
      </c>
      <c r="B233" s="394"/>
      <c r="C233" s="685">
        <f>VLOOKUP(E2,Bedarfssätze!B7:C22,2)</f>
        <v>449</v>
      </c>
      <c r="D233" s="685">
        <f>VLOOKUP(E2,Bedarfssätze!E7:F22,2)</f>
        <v>404</v>
      </c>
      <c r="E233" s="685">
        <f>VLOOKUP(E2,Bedarfssätze!H7:I22,2)</f>
        <v>360</v>
      </c>
      <c r="F233" s="685">
        <f>VLOOKUP(E2,Bedarfssätze!B26:C41,2)</f>
        <v>376</v>
      </c>
      <c r="G233" s="685">
        <f>VLOOKUP(E2,Bedarfssätze!E26:F41,2)</f>
        <v>311</v>
      </c>
      <c r="H233" s="685">
        <f>VLOOKUP(E2,Bedarfssätze!H26:I41,2)</f>
        <v>285</v>
      </c>
      <c r="I233" s="459"/>
    </row>
    <row r="234" spans="1:64" ht="20.100000000000001" hidden="1" customHeight="1">
      <c r="A234" s="686"/>
      <c r="B234" s="687"/>
      <c r="C234" s="687"/>
      <c r="D234" s="687"/>
      <c r="E234" s="687"/>
      <c r="F234" s="687"/>
      <c r="G234" s="687"/>
      <c r="H234" s="687"/>
      <c r="I234" s="688"/>
    </row>
    <row r="235" spans="1:64" ht="20.100000000000001" hidden="1" customHeight="1">
      <c r="A235" s="1968" t="s">
        <v>233</v>
      </c>
      <c r="B235" s="1913">
        <f>IF(Berechnung!B161&gt;0,Berechnung!B161,"0,00 €")</f>
        <v>449</v>
      </c>
      <c r="C235" s="689">
        <f>IF(Berechnung!B161&gt;0,Berechnung!B161,0)</f>
        <v>449</v>
      </c>
      <c r="D235" s="1969" t="s">
        <v>131</v>
      </c>
      <c r="E235" s="1969"/>
      <c r="F235" s="394"/>
      <c r="G235" s="1964" t="str">
        <f>IF(AND(C241&lt;=0,C238&gt;C235),"Wohngeld beantragen!",IF(AND(C238&lt;=0,C241&gt;C235),"Kinderzuschlag beantragen!",IF(C238+C241&gt;C235,"Wohngeld und Kinderzuschlag beantragen!","")))</f>
        <v/>
      </c>
      <c r="H235" s="1964"/>
      <c r="I235" s="196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row>
    <row r="236" spans="1:64" ht="20.100000000000001" hidden="1" customHeight="1">
      <c r="A236" s="1968"/>
      <c r="B236" s="1913"/>
      <c r="C236" s="394"/>
      <c r="D236" s="1969"/>
      <c r="E236" s="1969"/>
      <c r="F236" s="394"/>
      <c r="G236" s="1964"/>
      <c r="H236" s="1964"/>
      <c r="I236" s="1964"/>
    </row>
    <row r="237" spans="1:64" ht="20.100000000000001" hidden="1" customHeight="1">
      <c r="A237" s="686"/>
      <c r="B237" s="394"/>
      <c r="C237" s="394"/>
      <c r="D237" s="394"/>
      <c r="E237" s="394"/>
      <c r="F237" s="394"/>
      <c r="G237" s="1964"/>
      <c r="H237" s="1964"/>
      <c r="I237" s="1964"/>
      <c r="J237" s="287"/>
      <c r="K237" s="287"/>
      <c r="L237" s="287"/>
      <c r="M237" s="287"/>
      <c r="N237" s="287"/>
      <c r="O237" s="287"/>
      <c r="P237" s="287"/>
      <c r="Q237" s="287"/>
      <c r="R237" s="287"/>
      <c r="S237" s="287"/>
      <c r="T237" s="287"/>
      <c r="U237" s="287"/>
      <c r="V237" s="287"/>
      <c r="W237" s="287"/>
      <c r="X237" s="287"/>
      <c r="Y237" s="287"/>
      <c r="Z237" s="287"/>
      <c r="AA237" s="287"/>
      <c r="AB237" s="287"/>
      <c r="AC237" s="287"/>
      <c r="AD237" s="287"/>
      <c r="AE237" s="287"/>
      <c r="AF237" s="287"/>
      <c r="AG237" s="287"/>
      <c r="AH237" s="287"/>
      <c r="AI237" s="287"/>
      <c r="AJ237" s="287"/>
      <c r="AK237" s="287"/>
      <c r="AL237" s="287"/>
      <c r="AM237" s="287"/>
      <c r="AN237" s="287"/>
      <c r="AO237" s="287"/>
      <c r="AP237" s="287"/>
      <c r="AQ237" s="287"/>
      <c r="AR237" s="287"/>
      <c r="AS237" s="287"/>
      <c r="AT237" s="287"/>
      <c r="AU237" s="287"/>
      <c r="AV237" s="287"/>
      <c r="AW237" s="287"/>
      <c r="AX237" s="287"/>
      <c r="AY237" s="287"/>
      <c r="AZ237" s="287"/>
      <c r="BA237" s="287"/>
      <c r="BB237" s="287"/>
      <c r="BC237" s="287"/>
      <c r="BD237" s="287"/>
      <c r="BE237" s="287"/>
      <c r="BF237" s="287"/>
      <c r="BG237" s="287"/>
      <c r="BH237" s="287"/>
      <c r="BI237" s="287"/>
      <c r="BJ237" s="287"/>
      <c r="BK237" s="287"/>
      <c r="BL237" s="287"/>
    </row>
    <row r="238" spans="1:64" ht="20.100000000000001" hidden="1" customHeight="1">
      <c r="A238" s="690" t="s">
        <v>234</v>
      </c>
      <c r="B238" s="1970" t="str">
        <f>IF(Wohngeld!B56&gt;0,Wohngeld!B56,"0,00 €")</f>
        <v>0,00 €</v>
      </c>
      <c r="C238" s="689">
        <f>IF(Wohngeld!B58&gt;0,Wohngeld!B58,0)</f>
        <v>0</v>
      </c>
      <c r="D238" s="1971" t="s">
        <v>131</v>
      </c>
      <c r="E238" s="1971"/>
      <c r="F238" s="394"/>
      <c r="G238" s="1964"/>
      <c r="H238" s="1964"/>
      <c r="I238" s="1964"/>
    </row>
    <row r="239" spans="1:64" ht="20.100000000000001" hidden="1" customHeight="1">
      <c r="A239" s="691" t="s">
        <v>235</v>
      </c>
      <c r="B239" s="1970"/>
      <c r="C239" s="692"/>
      <c r="D239" s="1971"/>
      <c r="E239" s="1971"/>
      <c r="F239" s="394"/>
      <c r="G239" s="693"/>
      <c r="H239" s="693"/>
      <c r="I239" s="694"/>
    </row>
    <row r="240" spans="1:64" ht="20.100000000000001" hidden="1" customHeight="1">
      <c r="A240" s="686"/>
      <c r="B240" s="394"/>
      <c r="C240" s="692"/>
      <c r="D240" s="394"/>
      <c r="E240" s="394"/>
      <c r="F240" s="394"/>
      <c r="G240" s="1964">
        <f>IF(AND($B$195&lt;1,Berechnung!D225&gt;0),"UVG-Anspruch für Kinder ab        12 Jahren prüfen               (Elternteil überschreitet Mindesteinkommensgrenze)!",IF(AND($B$195&lt;1,Berechnung!D226&gt;0),"UVG-Anspruch für Kinder ab       12 Jahren prüfen (Kind kann ggf.      mit UVG Hilfebedürftigkeit vermeiden)!",IF(AND($B$195&lt;1,Berechnung!D227&gt;0),"UVG-Anspruch für Kinder ab           12 Jahren prüfen                              (Kind bezieht keine SGB II-Leistungen)!",0)))</f>
        <v>0</v>
      </c>
      <c r="H240" s="1964"/>
      <c r="I240" s="1964"/>
    </row>
    <row r="241" spans="1:10" ht="20.100000000000001" hidden="1" customHeight="1">
      <c r="A241" s="1965" t="s">
        <v>134</v>
      </c>
      <c r="B241" s="1920" t="str">
        <f>IF(Kinderzuschlag!B193&gt;0,Kinderzuschlag!B193,"0,00 €")</f>
        <v>0,00 €</v>
      </c>
      <c r="C241" s="689">
        <f>IF(Kinderzuschlag!C193&gt;0,Kinderzuschlag!C193,0)</f>
        <v>0</v>
      </c>
      <c r="D241" s="1966" t="s">
        <v>131</v>
      </c>
      <c r="E241" s="1966"/>
      <c r="F241" s="394"/>
      <c r="G241" s="1964"/>
      <c r="H241" s="1964"/>
      <c r="I241" s="1964"/>
    </row>
    <row r="242" spans="1:10" ht="20.100000000000001" hidden="1" customHeight="1">
      <c r="A242" s="1965"/>
      <c r="B242" s="1920"/>
      <c r="C242" s="394"/>
      <c r="D242" s="1966"/>
      <c r="E242" s="1966"/>
      <c r="F242" s="394"/>
      <c r="G242" s="1964"/>
      <c r="H242" s="1964"/>
      <c r="I242" s="1964"/>
    </row>
    <row r="243" spans="1:10" ht="12.75" hidden="1" customHeight="1">
      <c r="A243" s="686"/>
      <c r="B243" s="394"/>
      <c r="C243" s="394"/>
      <c r="D243" s="394"/>
      <c r="E243" s="394"/>
      <c r="F243" s="394"/>
      <c r="G243" s="394"/>
      <c r="H243" s="394"/>
      <c r="I243" s="459"/>
    </row>
    <row r="244" spans="1:10" ht="18.399999999999999" hidden="1" customHeight="1">
      <c r="A244" s="686"/>
      <c r="B244" s="695" t="s">
        <v>236</v>
      </c>
      <c r="C244" s="685">
        <v>250</v>
      </c>
      <c r="D244" s="394"/>
      <c r="E244" s="394"/>
      <c r="F244" s="394"/>
      <c r="G244" s="394"/>
      <c r="H244" s="394"/>
      <c r="I244" s="459"/>
    </row>
    <row r="245" spans="1:10" ht="20.100000000000001" hidden="1" customHeight="1">
      <c r="A245" s="696"/>
      <c r="B245" s="695" t="s">
        <v>204</v>
      </c>
      <c r="C245" s="685">
        <f>VLOOKUP($E$2,Bedarfssätze!B93:C99,2)</f>
        <v>219</v>
      </c>
      <c r="D245" s="685">
        <f>VLOOKUP($E$2,Bedarfssätze!E93:F99,2)</f>
        <v>219</v>
      </c>
      <c r="E245" s="685">
        <f>VLOOKUP($E$2,Bedarfssätze!H93:I99,2)</f>
        <v>221</v>
      </c>
      <c r="F245" s="685">
        <f>VLOOKUP($E$2,Bedarfssätze!B102:C108,2)</f>
        <v>228.25</v>
      </c>
      <c r="G245" s="685">
        <f>VLOOKUP($E$2,Bedarfssätze!E102:F108,2)</f>
        <v>232.6</v>
      </c>
      <c r="H245" s="697"/>
      <c r="I245" s="698"/>
    </row>
    <row r="246" spans="1:10" ht="20.100000000000001" hidden="1" customHeight="1">
      <c r="A246" s="696"/>
      <c r="B246" s="695" t="s">
        <v>237</v>
      </c>
      <c r="C246" s="685">
        <f>VLOOKUP($E$2,Bedarfssätze!B115:C124,2)</f>
        <v>177</v>
      </c>
      <c r="D246" s="685">
        <f>VLOOKUP($E$2,Bedarfssätze!E115:F124,2)</f>
        <v>236</v>
      </c>
      <c r="E246" s="685">
        <f>VLOOKUP($E$2,Bedarfssätze!H115:I124,2)</f>
        <v>314</v>
      </c>
      <c r="F246" s="697"/>
      <c r="G246" s="697"/>
      <c r="H246" s="697"/>
      <c r="I246" s="698"/>
    </row>
    <row r="247" spans="1:10" ht="20.100000000000001" hidden="1" customHeight="1">
      <c r="A247" s="699"/>
      <c r="B247" s="700"/>
      <c r="C247" s="701"/>
      <c r="D247" s="701"/>
      <c r="E247" s="701"/>
      <c r="F247" s="701"/>
      <c r="G247" s="701"/>
      <c r="H247" s="701"/>
      <c r="I247" s="702"/>
    </row>
    <row r="248" spans="1:10" ht="22.5" customHeight="1">
      <c r="A248" s="1967" t="s">
        <v>238</v>
      </c>
      <c r="B248" s="1967"/>
      <c r="C248" s="1967"/>
      <c r="D248" s="1967"/>
      <c r="E248" s="1967"/>
      <c r="F248" s="1967"/>
      <c r="G248" s="1967"/>
      <c r="H248" s="1967"/>
      <c r="I248" s="1967"/>
    </row>
    <row r="249" spans="1:10" ht="20.100000000000001" customHeight="1">
      <c r="A249" s="703"/>
      <c r="B249" s="703"/>
      <c r="C249" s="703"/>
      <c r="D249" s="703"/>
      <c r="E249" s="703"/>
      <c r="F249" s="704"/>
      <c r="G249" s="704"/>
      <c r="H249" s="704"/>
      <c r="I249" s="705"/>
      <c r="J249" s="706"/>
    </row>
    <row r="250" spans="1:10" ht="20.100000000000001" customHeight="1">
      <c r="A250" s="707"/>
      <c r="B250" s="708" t="s">
        <v>141</v>
      </c>
      <c r="C250" s="708" t="str">
        <f t="shared" ref="C250:I250" si="72">C4</f>
        <v>Antragsteller</v>
      </c>
      <c r="D250" s="708" t="str">
        <f t="shared" si="72"/>
        <v>Partner(in)</v>
      </c>
      <c r="E250" s="708" t="str">
        <f t="shared" si="72"/>
        <v>Kind 1</v>
      </c>
      <c r="F250" s="708" t="str">
        <f t="shared" si="72"/>
        <v>Kind 2</v>
      </c>
      <c r="G250" s="708" t="str">
        <f t="shared" si="72"/>
        <v>Kind 3</v>
      </c>
      <c r="H250" s="708" t="str">
        <f t="shared" si="72"/>
        <v>Kind 4</v>
      </c>
      <c r="I250" s="709" t="str">
        <f t="shared" si="72"/>
        <v>Kind 5</v>
      </c>
      <c r="J250" s="706"/>
    </row>
    <row r="251" spans="1:10" ht="20.100000000000001" customHeight="1">
      <c r="A251" s="710" t="s">
        <v>46</v>
      </c>
      <c r="B251" s="1959" t="str">
        <f>Eingabetabelle!B45</f>
        <v>Nordrhein-Westfalen</v>
      </c>
      <c r="C251" s="1959"/>
      <c r="D251" s="711">
        <f>VLOOKUP(B251,A305:B320,2)</f>
        <v>10</v>
      </c>
      <c r="E251" s="678"/>
      <c r="F251" s="678"/>
      <c r="G251" s="678"/>
      <c r="H251" s="678"/>
      <c r="I251" s="679"/>
      <c r="J251" s="706"/>
    </row>
    <row r="252" spans="1:10" ht="20.100000000000001" customHeight="1">
      <c r="A252" s="710" t="s">
        <v>48</v>
      </c>
      <c r="B252" s="1960" t="str">
        <f>Eingabetabelle!B46</f>
        <v>Köln</v>
      </c>
      <c r="C252" s="1960"/>
      <c r="D252" s="712"/>
      <c r="E252" s="713" t="s">
        <v>239</v>
      </c>
      <c r="F252" s="714" t="str">
        <f>Eingabetabelle!F46</f>
        <v>VI</v>
      </c>
      <c r="G252" s="1961" t="s">
        <v>240</v>
      </c>
      <c r="H252" s="1961"/>
      <c r="I252" s="1961"/>
    </row>
    <row r="253" spans="1:10" ht="20.100000000000001" customHeight="1">
      <c r="A253" s="710" t="s">
        <v>52</v>
      </c>
      <c r="B253" s="715" t="str">
        <f>Eingabetabelle!C47</f>
        <v>Miete</v>
      </c>
      <c r="C253" s="716"/>
      <c r="D253" s="716"/>
      <c r="E253" s="716"/>
      <c r="F253" s="716"/>
      <c r="G253" s="1962"/>
      <c r="H253" s="1962"/>
      <c r="I253" s="1962"/>
    </row>
    <row r="254" spans="1:10" ht="20.100000000000001" customHeight="1">
      <c r="A254" s="710" t="str">
        <f>IF($B$253="Miete","tatsächliche monatliche Bruttokaltmiete",0)</f>
        <v>tatsächliche monatliche Bruttokaltmiete</v>
      </c>
      <c r="B254" s="717">
        <f>IF(B253="Miete",B102+B105+B106-B104-B107,0)</f>
        <v>0</v>
      </c>
      <c r="C254" s="716"/>
      <c r="D254" s="716"/>
      <c r="E254" s="716"/>
      <c r="F254" s="716"/>
      <c r="G254" s="716"/>
      <c r="H254" s="716"/>
      <c r="I254" s="718"/>
    </row>
    <row r="255" spans="1:10" ht="20.100000000000001" customHeight="1">
      <c r="A255" s="710">
        <f>IF($B$253="Eigentum","Wohnfläche",0)</f>
        <v>0</v>
      </c>
      <c r="B255" s="719">
        <f>Eingabetabelle!C56</f>
        <v>0</v>
      </c>
      <c r="C255" s="716"/>
      <c r="D255" s="716"/>
      <c r="E255" s="716"/>
      <c r="F255" s="716"/>
      <c r="G255" s="716"/>
      <c r="H255" s="716"/>
      <c r="I255" s="718"/>
    </row>
    <row r="256" spans="1:10" ht="20.100000000000001" customHeight="1">
      <c r="A256" s="710">
        <f>IF($B$253="Eigentum","tatsächliche monatliche Zins- und Tilgungsrate",0)</f>
        <v>0</v>
      </c>
      <c r="B256" s="717">
        <f>IF(B253="Eigentum",B102,0)</f>
        <v>0</v>
      </c>
      <c r="C256" s="1963">
        <f>IF(AND(B102=B256,B253="Eigentum"),"Tilgungsrate dazurechnen!",0)</f>
        <v>0</v>
      </c>
      <c r="D256" s="1963"/>
      <c r="E256" s="1963"/>
      <c r="F256" s="716"/>
      <c r="G256" s="716"/>
      <c r="H256" s="716"/>
      <c r="I256" s="718"/>
    </row>
    <row r="257" spans="1:9" ht="20.100000000000001" customHeight="1">
      <c r="A257" s="710">
        <f>IF($B$253="Eigentum","monatliche Grundsteuer",0)</f>
        <v>0</v>
      </c>
      <c r="B257" s="717">
        <f>Eingabetabelle!C50</f>
        <v>0</v>
      </c>
      <c r="C257" s="716"/>
      <c r="D257" s="716"/>
      <c r="E257" s="716"/>
      <c r="F257" s="716"/>
      <c r="G257" s="716"/>
      <c r="H257" s="716"/>
      <c r="I257" s="718"/>
    </row>
    <row r="258" spans="1:9" ht="20.100000000000001" customHeight="1">
      <c r="A258" s="710">
        <f>IF($B$253="Eigentum","Garage/PKW-Stellplatz vorhanden",0)</f>
        <v>0</v>
      </c>
      <c r="B258" s="720"/>
      <c r="C258" s="716"/>
      <c r="D258" s="716"/>
      <c r="E258" s="716"/>
      <c r="F258" s="716"/>
      <c r="G258" s="716"/>
      <c r="H258" s="716"/>
      <c r="I258" s="718"/>
    </row>
    <row r="259" spans="1:9" ht="9.9499999999999993" customHeight="1">
      <c r="A259" s="721"/>
      <c r="B259" s="722"/>
      <c r="C259" s="723"/>
      <c r="D259" s="723"/>
      <c r="E259" s="723"/>
      <c r="F259" s="723"/>
      <c r="G259" s="723"/>
      <c r="H259" s="723"/>
      <c r="I259" s="724"/>
    </row>
    <row r="260" spans="1:9" ht="20.100000000000001" customHeight="1">
      <c r="A260" s="725" t="s">
        <v>241</v>
      </c>
      <c r="B260" s="726">
        <f>SUM(C260:I260)</f>
        <v>0</v>
      </c>
      <c r="C260" s="457">
        <f t="shared" ref="C260:I260" si="73">IF(C128&gt;450,C128*12,IF(C136&gt;0,C136*12,0))</f>
        <v>0</v>
      </c>
      <c r="D260" s="457">
        <f t="shared" si="73"/>
        <v>0</v>
      </c>
      <c r="E260" s="457">
        <f t="shared" si="73"/>
        <v>0</v>
      </c>
      <c r="F260" s="457">
        <f t="shared" si="73"/>
        <v>0</v>
      </c>
      <c r="G260" s="457">
        <f t="shared" si="73"/>
        <v>0</v>
      </c>
      <c r="H260" s="457">
        <f t="shared" si="73"/>
        <v>0</v>
      </c>
      <c r="I260" s="529">
        <f t="shared" si="73"/>
        <v>0</v>
      </c>
    </row>
    <row r="261" spans="1:9" ht="20.100000000000001" customHeight="1">
      <c r="A261" s="725">
        <f>IF(B260&gt;0,"Werbungskosten (wenn über 1.000 €)",0)</f>
        <v>0</v>
      </c>
      <c r="B261" s="333"/>
      <c r="C261" s="433"/>
      <c r="D261" s="433"/>
      <c r="E261" s="433"/>
      <c r="F261" s="433"/>
      <c r="G261" s="433"/>
      <c r="H261" s="433"/>
      <c r="I261" s="443"/>
    </row>
    <row r="262" spans="1:9" ht="20.100000000000001" customHeight="1">
      <c r="A262" s="725" t="s">
        <v>242</v>
      </c>
      <c r="B262" s="333"/>
      <c r="C262" s="457">
        <f t="shared" ref="C262:I262" si="74">IF(C128&lt;=450,C128*12,0)</f>
        <v>0</v>
      </c>
      <c r="D262" s="457">
        <f t="shared" si="74"/>
        <v>0</v>
      </c>
      <c r="E262" s="457">
        <f t="shared" si="74"/>
        <v>0</v>
      </c>
      <c r="F262" s="457">
        <f t="shared" si="74"/>
        <v>0</v>
      </c>
      <c r="G262" s="457">
        <f t="shared" si="74"/>
        <v>0</v>
      </c>
      <c r="H262" s="457">
        <f t="shared" si="74"/>
        <v>0</v>
      </c>
      <c r="I262" s="529">
        <f t="shared" si="74"/>
        <v>0</v>
      </c>
    </row>
    <row r="263" spans="1:9" ht="20.100000000000001" customHeight="1">
      <c r="A263" s="725">
        <f>IF(B165&gt;0,"Sachbezug bei Freiwilligendienst lt. Lohnabrechnung",0)</f>
        <v>0</v>
      </c>
      <c r="B263" s="333"/>
      <c r="C263" s="433">
        <f t="shared" ref="C263:I263" si="75">C165</f>
        <v>0</v>
      </c>
      <c r="D263" s="433">
        <f t="shared" si="75"/>
        <v>0</v>
      </c>
      <c r="E263" s="433">
        <f t="shared" si="75"/>
        <v>0</v>
      </c>
      <c r="F263" s="433">
        <f t="shared" si="75"/>
        <v>0</v>
      </c>
      <c r="G263" s="433">
        <f t="shared" si="75"/>
        <v>0</v>
      </c>
      <c r="H263" s="433">
        <f t="shared" si="75"/>
        <v>0</v>
      </c>
      <c r="I263" s="433">
        <f t="shared" si="75"/>
        <v>0</v>
      </c>
    </row>
    <row r="264" spans="1:9" ht="20.100000000000001" customHeight="1">
      <c r="A264" s="727"/>
      <c r="B264" s="333"/>
      <c r="C264" s="433">
        <f>IF(OR($A$198="Hinterbliebenenrente",$A$198="Erwerbsminderungsrente"),C198+C198*0.1217,0)</f>
        <v>0</v>
      </c>
      <c r="D264" s="433">
        <f>IF(OR($A$198="Hinterbliebenenrente",$A$198="Erwerbsminderungsrente"),D198+D198*0.1217,0)</f>
        <v>0</v>
      </c>
      <c r="E264" s="433"/>
      <c r="F264" s="433"/>
      <c r="G264" s="433"/>
      <c r="H264" s="433"/>
      <c r="I264" s="443"/>
    </row>
    <row r="265" spans="1:9" ht="20.100000000000001" customHeight="1">
      <c r="A265" s="727"/>
      <c r="B265" s="333"/>
      <c r="C265" s="433">
        <f>IF(C197&gt;0,C197+C197*0.1217,0)</f>
        <v>0</v>
      </c>
      <c r="D265" s="433">
        <f>IF(D197&gt;0,D197+D197*0.1217,0)</f>
        <v>0</v>
      </c>
      <c r="E265" s="433"/>
      <c r="F265" s="433"/>
      <c r="G265" s="433"/>
      <c r="H265" s="433"/>
      <c r="I265" s="443"/>
    </row>
    <row r="266" spans="1:9" ht="20.100000000000001" customHeight="1">
      <c r="A266" s="725" t="s">
        <v>243</v>
      </c>
      <c r="B266" s="333"/>
      <c r="C266" s="457">
        <f>C264+C265</f>
        <v>0</v>
      </c>
      <c r="D266" s="457">
        <f>D264+D265</f>
        <v>0</v>
      </c>
      <c r="E266" s="457">
        <f>IF(OR($A$198="Hinterbliebenenrente",$A$198="Erwerbsminderungsrente"),E198+E198*0.1217,0)</f>
        <v>0</v>
      </c>
      <c r="F266" s="457">
        <f>IF(OR($A$198="Hinterbliebenenrente",$A$198="Erwerbsminderungsrente"),F198+F198*0.1217,0)</f>
        <v>0</v>
      </c>
      <c r="G266" s="457">
        <f>IF(OR($A$198="Hinterbliebenenrente",$A$198="Erwerbsminderungsrente"),G198+G198*0.1217,0)</f>
        <v>0</v>
      </c>
      <c r="H266" s="457">
        <f>IF(OR($A$198="Hinterbliebenenrente",$A$198="Erwerbsminderungsrente"),H198+H198*0.1217,0)</f>
        <v>0</v>
      </c>
      <c r="I266" s="529">
        <f>IF(OR($A$198="Hinterbliebenenrente",$A$198="Erwerbsminderungsrente"),I198+I198*0.1217,0)</f>
        <v>0</v>
      </c>
    </row>
    <row r="267" spans="1:9" ht="20.100000000000001" customHeight="1">
      <c r="A267" s="725">
        <f>IF(A198="Verletztengeld","Brutto-Verletztengeld monatlich",IF(A198="Krankengeld","Brutto-Krankengeld monatlich",0))</f>
        <v>0</v>
      </c>
      <c r="B267" s="333"/>
      <c r="C267" s="433">
        <f t="shared" ref="C267:I267" si="76">IF(OR($A$198="Verletztengeld",$A$198="Krankengeld"),C198+C198*0.1373,0)</f>
        <v>0</v>
      </c>
      <c r="D267" s="433">
        <f t="shared" si="76"/>
        <v>0</v>
      </c>
      <c r="E267" s="433">
        <f t="shared" si="76"/>
        <v>0</v>
      </c>
      <c r="F267" s="433">
        <f t="shared" si="76"/>
        <v>0</v>
      </c>
      <c r="G267" s="433">
        <f t="shared" si="76"/>
        <v>0</v>
      </c>
      <c r="H267" s="433">
        <f t="shared" si="76"/>
        <v>0</v>
      </c>
      <c r="I267" s="443">
        <f t="shared" si="76"/>
        <v>0</v>
      </c>
    </row>
    <row r="268" spans="1:9" ht="20.100000000000001" customHeight="1">
      <c r="A268" s="725" t="s">
        <v>244</v>
      </c>
      <c r="B268" s="726">
        <f>SUM(C268:F268)</f>
        <v>0</v>
      </c>
      <c r="C268" s="457">
        <f>IF(OR($A$180="BAföG",$A$180="Unterhaltsbeitrag nach AFBG"),C180,0)</f>
        <v>0</v>
      </c>
      <c r="D268" s="457">
        <f>IF(OR($A$180="BAföG",$A$180="Unterhaltsbeitrag nach AFBG"),D180,0)</f>
        <v>0</v>
      </c>
      <c r="E268" s="457">
        <f>IF(OR($A$180="BAföG",$A$180="Unterhaltsbeitrag nach AFBG"),E180,0)</f>
        <v>0</v>
      </c>
      <c r="F268" s="457">
        <f>IF(OR($A$180="BAföG",$A$180="Unterhaltsbeitrag nach AFBG"),F180,0)</f>
        <v>0</v>
      </c>
      <c r="G268" s="1955">
        <f>IF(B268&gt;0,"nur Zuschussanteil erfassen!",0)</f>
        <v>0</v>
      </c>
      <c r="H268" s="1955"/>
      <c r="I268" s="1955"/>
    </row>
    <row r="269" spans="1:9" ht="9.9499999999999993" customHeight="1">
      <c r="A269" s="721"/>
      <c r="B269" s="728"/>
      <c r="C269" s="729"/>
      <c r="D269" s="729"/>
      <c r="E269" s="729"/>
      <c r="F269" s="729"/>
      <c r="G269" s="730"/>
      <c r="H269" s="730"/>
      <c r="I269" s="731"/>
    </row>
    <row r="270" spans="1:9" ht="16.5">
      <c r="A270" s="732" t="s">
        <v>245</v>
      </c>
      <c r="B270" s="733" t="s">
        <v>246</v>
      </c>
      <c r="C270" s="733" t="s">
        <v>142</v>
      </c>
      <c r="D270" s="733" t="s">
        <v>143</v>
      </c>
      <c r="E270" s="733" t="s">
        <v>144</v>
      </c>
      <c r="F270" s="733" t="s">
        <v>145</v>
      </c>
      <c r="G270" s="733" t="s">
        <v>146</v>
      </c>
      <c r="H270" s="733" t="s">
        <v>147</v>
      </c>
      <c r="I270" s="734" t="s">
        <v>148</v>
      </c>
    </row>
    <row r="271" spans="1:9" ht="20.100000000000001" customHeight="1">
      <c r="A271" s="735" t="s">
        <v>247</v>
      </c>
      <c r="B271" s="736"/>
      <c r="C271" s="737"/>
      <c r="D271" s="737"/>
      <c r="E271" s="737"/>
      <c r="F271" s="737"/>
      <c r="G271" s="737"/>
      <c r="H271" s="737"/>
      <c r="I271" s="738"/>
    </row>
    <row r="272" spans="1:9" ht="20.100000000000001" customHeight="1">
      <c r="A272" s="739" t="s">
        <v>248</v>
      </c>
      <c r="B272" s="333"/>
      <c r="C272" s="310" t="s">
        <v>27</v>
      </c>
      <c r="D272" s="310" t="s">
        <v>27</v>
      </c>
      <c r="E272" s="310" t="s">
        <v>27</v>
      </c>
      <c r="F272" s="310" t="s">
        <v>27</v>
      </c>
      <c r="G272" s="310" t="s">
        <v>27</v>
      </c>
      <c r="H272" s="310" t="s">
        <v>27</v>
      </c>
      <c r="I272" s="310" t="s">
        <v>27</v>
      </c>
    </row>
    <row r="273" spans="1:11" ht="20.100000000000001" customHeight="1">
      <c r="A273" s="739" t="s">
        <v>249</v>
      </c>
      <c r="B273" s="333"/>
      <c r="C273" s="740" t="s">
        <v>27</v>
      </c>
      <c r="D273" s="741" t="s">
        <v>27</v>
      </c>
      <c r="E273" s="741" t="s">
        <v>27</v>
      </c>
      <c r="F273" s="741" t="s">
        <v>27</v>
      </c>
      <c r="G273" s="741" t="s">
        <v>27</v>
      </c>
      <c r="H273" s="741" t="s">
        <v>27</v>
      </c>
      <c r="I273" s="742" t="s">
        <v>27</v>
      </c>
    </row>
    <row r="274" spans="1:11" ht="20.100000000000001" customHeight="1">
      <c r="A274" s="739" t="s">
        <v>250</v>
      </c>
      <c r="B274" s="333"/>
      <c r="C274" s="740" t="s">
        <v>27</v>
      </c>
      <c r="D274" s="741" t="s">
        <v>27</v>
      </c>
      <c r="E274" s="741" t="s">
        <v>27</v>
      </c>
      <c r="F274" s="741" t="s">
        <v>27</v>
      </c>
      <c r="G274" s="741" t="s">
        <v>27</v>
      </c>
      <c r="H274" s="741" t="s">
        <v>27</v>
      </c>
      <c r="I274" s="742" t="s">
        <v>27</v>
      </c>
    </row>
    <row r="275" spans="1:11" ht="19.5" customHeight="1">
      <c r="A275" s="743"/>
      <c r="B275" s="333"/>
      <c r="C275" s="744">
        <f t="shared" ref="C275:I275" si="77">IF(AND(C272="Ja",C273="Nein",C274="Nein"),0.1,IF(AND(C273="Ja",C272="Nein",C274="Nein"),0.1,IF(AND(C274="Ja",C272="Nein",C273="Nein"),0.1,IF(AND(C272="Ja",C273="Ja",C274="Nein"),0.2,IF(AND(C272="Ja",C274="Ja",C273="Nein"),0.2,IF(AND(C272="Ja",C273="Ja",C274="Ja"),0.3,IF(AND(C273="Ja",C274="Ja"),0.2,0)))))))</f>
        <v>0</v>
      </c>
      <c r="D275" s="744">
        <f t="shared" si="77"/>
        <v>0</v>
      </c>
      <c r="E275" s="744">
        <f t="shared" si="77"/>
        <v>0</v>
      </c>
      <c r="F275" s="744">
        <f t="shared" si="77"/>
        <v>0</v>
      </c>
      <c r="G275" s="744">
        <f t="shared" si="77"/>
        <v>0</v>
      </c>
      <c r="H275" s="744">
        <f t="shared" si="77"/>
        <v>0</v>
      </c>
      <c r="I275" s="744">
        <f t="shared" si="77"/>
        <v>0</v>
      </c>
    </row>
    <row r="276" spans="1:11" ht="9.9499999999999993" customHeight="1">
      <c r="A276" s="721"/>
      <c r="B276" s="722"/>
      <c r="C276" s="745"/>
      <c r="D276" s="745"/>
      <c r="E276" s="745"/>
      <c r="F276" s="745"/>
      <c r="G276" s="745"/>
      <c r="H276" s="745"/>
      <c r="I276" s="746"/>
    </row>
    <row r="277" spans="1:11" ht="20.100000000000001" customHeight="1">
      <c r="A277" s="739" t="s">
        <v>251</v>
      </c>
      <c r="B277" s="333"/>
      <c r="C277" s="747" t="s">
        <v>27</v>
      </c>
      <c r="D277" s="747" t="s">
        <v>27</v>
      </c>
      <c r="E277" s="747" t="s">
        <v>27</v>
      </c>
      <c r="F277" s="747" t="s">
        <v>27</v>
      </c>
      <c r="G277" s="747" t="s">
        <v>27</v>
      </c>
      <c r="H277" s="747" t="s">
        <v>27</v>
      </c>
      <c r="I277" s="748" t="s">
        <v>27</v>
      </c>
    </row>
    <row r="278" spans="1:11" ht="20.100000000000001" customHeight="1">
      <c r="A278" s="739" t="s">
        <v>252</v>
      </c>
      <c r="B278" s="333"/>
      <c r="C278" s="747" t="s">
        <v>27</v>
      </c>
      <c r="D278" s="747" t="s">
        <v>27</v>
      </c>
      <c r="E278" s="747" t="s">
        <v>27</v>
      </c>
      <c r="F278" s="747" t="s">
        <v>27</v>
      </c>
      <c r="G278" s="747" t="s">
        <v>27</v>
      </c>
      <c r="H278" s="747" t="s">
        <v>27</v>
      </c>
      <c r="I278" s="748" t="s">
        <v>27</v>
      </c>
    </row>
    <row r="279" spans="1:11" ht="20.100000000000001" customHeight="1">
      <c r="A279" s="323"/>
      <c r="B279" s="337"/>
      <c r="C279" s="749">
        <f t="shared" ref="C279:I279" si="78">IF(OR(C277="Ja",C278="Ja"),1500,0)</f>
        <v>0</v>
      </c>
      <c r="D279" s="749">
        <f t="shared" si="78"/>
        <v>0</v>
      </c>
      <c r="E279" s="749">
        <f t="shared" si="78"/>
        <v>0</v>
      </c>
      <c r="F279" s="749">
        <f t="shared" si="78"/>
        <v>0</v>
      </c>
      <c r="G279" s="749">
        <f t="shared" si="78"/>
        <v>0</v>
      </c>
      <c r="H279" s="749">
        <f t="shared" si="78"/>
        <v>0</v>
      </c>
      <c r="I279" s="749">
        <f t="shared" si="78"/>
        <v>0</v>
      </c>
    </row>
    <row r="280" spans="1:11" ht="20.100000000000001" customHeight="1">
      <c r="A280" s="750">
        <f>IF(B33&gt;0,"Kinderbetreuungskosten jährlich",0)</f>
        <v>0</v>
      </c>
      <c r="B280" s="751"/>
      <c r="C280" s="538"/>
      <c r="D280" s="538"/>
      <c r="E280" s="752"/>
      <c r="F280" s="753"/>
      <c r="G280" s="753"/>
      <c r="H280" s="753"/>
      <c r="I280" s="754"/>
    </row>
    <row r="281" spans="1:11" ht="20.100000000000001" customHeight="1">
      <c r="A281" s="716"/>
      <c r="B281" s="716"/>
      <c r="C281" s="730">
        <f>IF(B33&gt;0,MIN(C280*2/3,4000),0)</f>
        <v>0</v>
      </c>
      <c r="D281" s="730">
        <f>IF(B33&gt;0,MIN(D280*2/3,4000),0)</f>
        <v>0</v>
      </c>
      <c r="E281" s="730"/>
      <c r="F281" s="730"/>
      <c r="G281" s="730"/>
      <c r="H281" s="730"/>
      <c r="I281" s="730"/>
    </row>
    <row r="282" spans="1:11" ht="20.100000000000001" customHeight="1">
      <c r="A282" s="755" t="s">
        <v>253</v>
      </c>
      <c r="B282" s="716"/>
      <c r="C282" s="716"/>
      <c r="D282" s="716"/>
      <c r="E282" s="716"/>
      <c r="F282" s="716"/>
      <c r="G282" s="716"/>
      <c r="H282" s="716"/>
      <c r="I282" s="716"/>
    </row>
    <row r="283" spans="1:11" ht="20.100000000000001" customHeight="1">
      <c r="A283" s="716"/>
      <c r="B283" s="716"/>
      <c r="C283" s="716"/>
      <c r="D283" s="716"/>
      <c r="E283" s="716"/>
      <c r="F283" s="716"/>
      <c r="G283" s="716"/>
      <c r="H283" s="716"/>
      <c r="I283" s="716"/>
    </row>
    <row r="284" spans="1:11" ht="20.100000000000001" customHeight="1">
      <c r="A284" s="1956" t="s">
        <v>254</v>
      </c>
      <c r="B284" s="1956"/>
      <c r="C284" s="1956"/>
      <c r="D284" s="1956"/>
      <c r="E284" s="1956"/>
      <c r="F284" s="1956"/>
      <c r="G284" s="1956"/>
      <c r="H284" s="1956"/>
      <c r="I284" s="1956"/>
      <c r="J284" s="1956"/>
      <c r="K284" s="1956"/>
    </row>
    <row r="285" spans="1:11" ht="20.100000000000001" customHeight="1">
      <c r="A285" s="756"/>
      <c r="B285" s="1957" t="s">
        <v>255</v>
      </c>
      <c r="C285" s="1957"/>
      <c r="D285" s="1957"/>
      <c r="E285" s="1957"/>
      <c r="F285" s="1957" t="s">
        <v>256</v>
      </c>
      <c r="G285" s="1957"/>
      <c r="H285" s="1957"/>
      <c r="I285" s="1957"/>
      <c r="J285" s="1958" t="s">
        <v>257</v>
      </c>
      <c r="K285" s="1958"/>
    </row>
    <row r="286" spans="1:11" ht="20.100000000000001" customHeight="1">
      <c r="A286" s="757" t="s">
        <v>258</v>
      </c>
      <c r="B286" s="758" t="s">
        <v>259</v>
      </c>
      <c r="C286" s="759" t="s">
        <v>260</v>
      </c>
      <c r="D286" s="760" t="s">
        <v>261</v>
      </c>
      <c r="E286" s="761" t="s">
        <v>262</v>
      </c>
      <c r="F286" s="758" t="s">
        <v>259</v>
      </c>
      <c r="G286" s="760" t="s">
        <v>260</v>
      </c>
      <c r="H286" s="760" t="s">
        <v>261</v>
      </c>
      <c r="I286" s="762" t="s">
        <v>262</v>
      </c>
      <c r="J286" s="758" t="s">
        <v>259</v>
      </c>
      <c r="K286" s="762" t="s">
        <v>262</v>
      </c>
    </row>
    <row r="287" spans="1:11" ht="20.100000000000001" customHeight="1">
      <c r="A287" s="763">
        <f>DATE(YEAR(E2), MONTH(E2)-1,1)</f>
        <v>44743</v>
      </c>
      <c r="B287" s="764"/>
      <c r="C287" s="765"/>
      <c r="D287" s="765"/>
      <c r="E287" s="766">
        <f t="shared" ref="E287:E298" si="79">IF(AND(B287 = 0, C287 = 0, D287 = 0), 0, B287-C287-D287)</f>
        <v>0</v>
      </c>
      <c r="F287" s="764"/>
      <c r="G287" s="765"/>
      <c r="H287" s="765"/>
      <c r="I287" s="766">
        <f t="shared" ref="I287:I298" si="80">IF(AND(F287 = 0, G287 = 0, H287 = 0), 0, F287-G287-H287)</f>
        <v>0</v>
      </c>
      <c r="J287" s="767">
        <f t="shared" ref="J287:J298" si="81">B287-C287+F287-G287</f>
        <v>0</v>
      </c>
      <c r="K287" s="768">
        <f t="shared" ref="K287:K298" si="82">E287+I287</f>
        <v>0</v>
      </c>
    </row>
    <row r="288" spans="1:11" ht="20.100000000000001" customHeight="1">
      <c r="A288" s="763">
        <f t="shared" ref="A288:A298" si="83">DATE(YEAR(A287), MONTH(A287)-1, 1)</f>
        <v>44713</v>
      </c>
      <c r="B288" s="764"/>
      <c r="C288" s="765"/>
      <c r="D288" s="765"/>
      <c r="E288" s="766">
        <f t="shared" si="79"/>
        <v>0</v>
      </c>
      <c r="F288" s="764"/>
      <c r="G288" s="765"/>
      <c r="H288" s="765"/>
      <c r="I288" s="766">
        <f t="shared" si="80"/>
        <v>0</v>
      </c>
      <c r="J288" s="767">
        <f t="shared" si="81"/>
        <v>0</v>
      </c>
      <c r="K288" s="768">
        <f t="shared" si="82"/>
        <v>0</v>
      </c>
    </row>
    <row r="289" spans="1:11" ht="20.100000000000001" customHeight="1">
      <c r="A289" s="763">
        <f t="shared" si="83"/>
        <v>44682</v>
      </c>
      <c r="B289" s="764"/>
      <c r="C289" s="765"/>
      <c r="D289" s="765"/>
      <c r="E289" s="766">
        <f t="shared" si="79"/>
        <v>0</v>
      </c>
      <c r="F289" s="764"/>
      <c r="G289" s="765"/>
      <c r="H289" s="765"/>
      <c r="I289" s="766">
        <f t="shared" si="80"/>
        <v>0</v>
      </c>
      <c r="J289" s="767">
        <f t="shared" si="81"/>
        <v>0</v>
      </c>
      <c r="K289" s="768">
        <f t="shared" si="82"/>
        <v>0</v>
      </c>
    </row>
    <row r="290" spans="1:11" ht="20.100000000000001" customHeight="1">
      <c r="A290" s="763">
        <f t="shared" si="83"/>
        <v>44652</v>
      </c>
      <c r="B290" s="764"/>
      <c r="C290" s="765"/>
      <c r="D290" s="765"/>
      <c r="E290" s="769">
        <f t="shared" si="79"/>
        <v>0</v>
      </c>
      <c r="F290" s="764"/>
      <c r="G290" s="765"/>
      <c r="H290" s="765"/>
      <c r="I290" s="766">
        <f t="shared" si="80"/>
        <v>0</v>
      </c>
      <c r="J290" s="767">
        <f t="shared" si="81"/>
        <v>0</v>
      </c>
      <c r="K290" s="768">
        <f t="shared" si="82"/>
        <v>0</v>
      </c>
    </row>
    <row r="291" spans="1:11" ht="20.100000000000001" customHeight="1">
      <c r="A291" s="763">
        <f t="shared" si="83"/>
        <v>44621</v>
      </c>
      <c r="B291" s="764"/>
      <c r="C291" s="765"/>
      <c r="D291" s="765"/>
      <c r="E291" s="766">
        <f t="shared" si="79"/>
        <v>0</v>
      </c>
      <c r="F291" s="764"/>
      <c r="G291" s="765"/>
      <c r="H291" s="765"/>
      <c r="I291" s="766">
        <f t="shared" si="80"/>
        <v>0</v>
      </c>
      <c r="J291" s="767">
        <f t="shared" si="81"/>
        <v>0</v>
      </c>
      <c r="K291" s="768">
        <f t="shared" si="82"/>
        <v>0</v>
      </c>
    </row>
    <row r="292" spans="1:11" ht="20.100000000000001" customHeight="1">
      <c r="A292" s="763">
        <f t="shared" si="83"/>
        <v>44593</v>
      </c>
      <c r="B292" s="764"/>
      <c r="C292" s="765"/>
      <c r="D292" s="765"/>
      <c r="E292" s="766">
        <f t="shared" si="79"/>
        <v>0</v>
      </c>
      <c r="F292" s="764"/>
      <c r="G292" s="765"/>
      <c r="H292" s="765"/>
      <c r="I292" s="766">
        <f t="shared" si="80"/>
        <v>0</v>
      </c>
      <c r="J292" s="767">
        <f t="shared" si="81"/>
        <v>0</v>
      </c>
      <c r="K292" s="768">
        <f t="shared" si="82"/>
        <v>0</v>
      </c>
    </row>
    <row r="293" spans="1:11" ht="20.100000000000001" customHeight="1">
      <c r="A293" s="763">
        <f t="shared" si="83"/>
        <v>44562</v>
      </c>
      <c r="B293" s="764"/>
      <c r="C293" s="765"/>
      <c r="D293" s="765"/>
      <c r="E293" s="766">
        <f t="shared" si="79"/>
        <v>0</v>
      </c>
      <c r="F293" s="764"/>
      <c r="G293" s="765"/>
      <c r="H293" s="765"/>
      <c r="I293" s="766">
        <f t="shared" si="80"/>
        <v>0</v>
      </c>
      <c r="J293" s="767">
        <f t="shared" si="81"/>
        <v>0</v>
      </c>
      <c r="K293" s="768">
        <f t="shared" si="82"/>
        <v>0</v>
      </c>
    </row>
    <row r="294" spans="1:11" ht="20.100000000000001" customHeight="1">
      <c r="A294" s="763">
        <f t="shared" si="83"/>
        <v>44531</v>
      </c>
      <c r="B294" s="764"/>
      <c r="C294" s="765"/>
      <c r="D294" s="765"/>
      <c r="E294" s="766">
        <f t="shared" si="79"/>
        <v>0</v>
      </c>
      <c r="F294" s="764"/>
      <c r="G294" s="765"/>
      <c r="H294" s="765"/>
      <c r="I294" s="766">
        <f t="shared" si="80"/>
        <v>0</v>
      </c>
      <c r="J294" s="767">
        <f t="shared" si="81"/>
        <v>0</v>
      </c>
      <c r="K294" s="768">
        <f t="shared" si="82"/>
        <v>0</v>
      </c>
    </row>
    <row r="295" spans="1:11" ht="20.100000000000001" customHeight="1">
      <c r="A295" s="763">
        <f t="shared" si="83"/>
        <v>44501</v>
      </c>
      <c r="B295" s="764"/>
      <c r="C295" s="765"/>
      <c r="D295" s="765"/>
      <c r="E295" s="766">
        <f t="shared" si="79"/>
        <v>0</v>
      </c>
      <c r="F295" s="764"/>
      <c r="G295" s="765"/>
      <c r="H295" s="765"/>
      <c r="I295" s="766">
        <f t="shared" si="80"/>
        <v>0</v>
      </c>
      <c r="J295" s="767">
        <f t="shared" si="81"/>
        <v>0</v>
      </c>
      <c r="K295" s="768">
        <f t="shared" si="82"/>
        <v>0</v>
      </c>
    </row>
    <row r="296" spans="1:11" ht="20.100000000000001" customHeight="1">
      <c r="A296" s="763">
        <f t="shared" si="83"/>
        <v>44470</v>
      </c>
      <c r="B296" s="764"/>
      <c r="C296" s="765"/>
      <c r="D296" s="765"/>
      <c r="E296" s="766">
        <f t="shared" si="79"/>
        <v>0</v>
      </c>
      <c r="F296" s="764"/>
      <c r="G296" s="765"/>
      <c r="H296" s="765"/>
      <c r="I296" s="766">
        <f t="shared" si="80"/>
        <v>0</v>
      </c>
      <c r="J296" s="767">
        <f t="shared" si="81"/>
        <v>0</v>
      </c>
      <c r="K296" s="768">
        <f t="shared" si="82"/>
        <v>0</v>
      </c>
    </row>
    <row r="297" spans="1:11" ht="20.100000000000001" customHeight="1">
      <c r="A297" s="763">
        <f t="shared" si="83"/>
        <v>44440</v>
      </c>
      <c r="B297" s="764"/>
      <c r="C297" s="765"/>
      <c r="D297" s="765"/>
      <c r="E297" s="766">
        <f t="shared" si="79"/>
        <v>0</v>
      </c>
      <c r="F297" s="764"/>
      <c r="G297" s="765"/>
      <c r="H297" s="765"/>
      <c r="I297" s="766">
        <f t="shared" si="80"/>
        <v>0</v>
      </c>
      <c r="J297" s="767">
        <f t="shared" si="81"/>
        <v>0</v>
      </c>
      <c r="K297" s="768">
        <f t="shared" si="82"/>
        <v>0</v>
      </c>
    </row>
    <row r="298" spans="1:11" ht="20.100000000000001" customHeight="1">
      <c r="A298" s="763">
        <f t="shared" si="83"/>
        <v>44409</v>
      </c>
      <c r="B298" s="770"/>
      <c r="C298" s="771"/>
      <c r="D298" s="771"/>
      <c r="E298" s="772">
        <f t="shared" si="79"/>
        <v>0</v>
      </c>
      <c r="F298" s="773"/>
      <c r="G298" s="771"/>
      <c r="H298" s="771"/>
      <c r="I298" s="772">
        <f t="shared" si="80"/>
        <v>0</v>
      </c>
      <c r="J298" s="774">
        <f t="shared" si="81"/>
        <v>0</v>
      </c>
      <c r="K298" s="775">
        <f t="shared" si="82"/>
        <v>0</v>
      </c>
    </row>
    <row r="299" spans="1:11" ht="20.100000000000001" customHeight="1">
      <c r="A299" s="776" t="s">
        <v>263</v>
      </c>
      <c r="B299" s="777">
        <f t="shared" ref="B299:K299" si="84">SUM(B287:B298)</f>
        <v>0</v>
      </c>
      <c r="C299" s="778">
        <f t="shared" si="84"/>
        <v>0</v>
      </c>
      <c r="D299" s="778">
        <f t="shared" si="84"/>
        <v>0</v>
      </c>
      <c r="E299" s="779">
        <f t="shared" si="84"/>
        <v>0</v>
      </c>
      <c r="F299" s="777">
        <f t="shared" si="84"/>
        <v>0</v>
      </c>
      <c r="G299" s="778">
        <f t="shared" si="84"/>
        <v>0</v>
      </c>
      <c r="H299" s="778">
        <f t="shared" si="84"/>
        <v>0</v>
      </c>
      <c r="I299" s="779">
        <f t="shared" si="84"/>
        <v>0</v>
      </c>
      <c r="J299" s="777">
        <f t="shared" si="84"/>
        <v>0</v>
      </c>
      <c r="K299" s="779">
        <f t="shared" si="84"/>
        <v>0</v>
      </c>
    </row>
    <row r="300" spans="1:11" ht="20.100000000000001" customHeight="1">
      <c r="A300" s="780"/>
      <c r="B300" s="781"/>
      <c r="C300" s="782"/>
      <c r="D300" s="783"/>
      <c r="E300" s="783"/>
      <c r="F300" s="783"/>
      <c r="G300" s="783"/>
      <c r="H300" s="783"/>
      <c r="I300" s="783"/>
      <c r="J300" s="783"/>
      <c r="K300" s="784"/>
    </row>
    <row r="301" spans="1:11" ht="20.100000000000001" customHeight="1">
      <c r="A301" s="785" t="s">
        <v>264</v>
      </c>
      <c r="B301" s="786" t="s">
        <v>142</v>
      </c>
      <c r="C301" s="783"/>
      <c r="D301" s="783"/>
      <c r="E301" s="783"/>
      <c r="F301" s="783"/>
      <c r="G301" s="783"/>
      <c r="H301" s="1954" t="s">
        <v>265</v>
      </c>
      <c r="I301" s="1954"/>
      <c r="J301" s="787" t="s">
        <v>259</v>
      </c>
      <c r="K301" s="788">
        <f>IF(J299=0,0,J299/COUNTIF(J287:J298,"&lt;&gt;0"))</f>
        <v>0</v>
      </c>
    </row>
    <row r="302" spans="1:11" ht="20.100000000000001" customHeight="1">
      <c r="A302" s="783"/>
      <c r="B302" s="783"/>
      <c r="C302" s="783"/>
      <c r="D302" s="783"/>
      <c r="E302" s="783"/>
      <c r="F302" s="783"/>
      <c r="G302" s="783"/>
      <c r="H302" s="789"/>
      <c r="I302" s="789"/>
      <c r="J302" s="787" t="s">
        <v>262</v>
      </c>
      <c r="K302" s="788">
        <f>IF(K299=0,0,K299/COUNTIF(K287:K298,"&lt;&gt;0"))</f>
        <v>0</v>
      </c>
    </row>
    <row r="303" spans="1:11" ht="20.100000000000001" customHeight="1">
      <c r="A303" s="716"/>
      <c r="B303" s="716"/>
      <c r="C303" s="716"/>
      <c r="D303" s="716"/>
      <c r="E303" s="716"/>
      <c r="F303" s="716"/>
      <c r="G303" s="716"/>
      <c r="H303" s="716"/>
      <c r="I303" s="716"/>
    </row>
    <row r="304" spans="1:11" ht="20.100000000000001" customHeight="1">
      <c r="F304" s="716"/>
      <c r="G304" s="716"/>
      <c r="H304" s="716"/>
      <c r="I304" s="716"/>
    </row>
    <row r="305" spans="1:9" ht="15" customHeight="1">
      <c r="A305" t="s">
        <v>266</v>
      </c>
      <c r="B305">
        <v>1</v>
      </c>
      <c r="F305" s="716"/>
      <c r="G305" s="716"/>
      <c r="H305" s="716"/>
      <c r="I305" s="716"/>
    </row>
    <row r="306" spans="1:9" ht="15" customHeight="1">
      <c r="A306" t="s">
        <v>267</v>
      </c>
      <c r="B306">
        <v>2</v>
      </c>
      <c r="F306" s="716"/>
      <c r="G306" s="716"/>
      <c r="H306" s="716"/>
      <c r="I306" s="716"/>
    </row>
    <row r="307" spans="1:9" ht="15" customHeight="1">
      <c r="A307" t="s">
        <v>268</v>
      </c>
      <c r="B307">
        <v>3</v>
      </c>
      <c r="F307" s="716"/>
      <c r="G307" s="716"/>
      <c r="H307" s="716"/>
      <c r="I307" s="716"/>
    </row>
    <row r="308" spans="1:9" ht="15" customHeight="1">
      <c r="A308" t="s">
        <v>269</v>
      </c>
      <c r="B308">
        <v>4</v>
      </c>
      <c r="F308" s="716"/>
      <c r="G308" s="716"/>
      <c r="H308" s="716"/>
      <c r="I308" s="716"/>
    </row>
    <row r="309" spans="1:9" ht="15" customHeight="1">
      <c r="A309" t="s">
        <v>270</v>
      </c>
      <c r="B309">
        <v>5</v>
      </c>
      <c r="F309" s="716"/>
      <c r="G309" s="716"/>
      <c r="H309" s="716"/>
      <c r="I309" s="716"/>
    </row>
    <row r="310" spans="1:9" ht="15" customHeight="1">
      <c r="A310" t="s">
        <v>271</v>
      </c>
      <c r="B310">
        <v>6</v>
      </c>
      <c r="F310" s="716"/>
      <c r="G310" s="716"/>
      <c r="H310" s="716"/>
      <c r="I310" s="716"/>
    </row>
    <row r="311" spans="1:9" ht="15" customHeight="1">
      <c r="A311" t="s">
        <v>47</v>
      </c>
      <c r="B311">
        <v>7</v>
      </c>
      <c r="F311" s="716"/>
      <c r="G311" s="716"/>
      <c r="H311" s="716"/>
      <c r="I311" s="716"/>
    </row>
    <row r="312" spans="1:9" ht="15" customHeight="1">
      <c r="A312" t="s">
        <v>272</v>
      </c>
      <c r="B312">
        <v>8</v>
      </c>
      <c r="F312" s="716"/>
      <c r="G312" s="716"/>
      <c r="H312" s="716"/>
      <c r="I312" s="716"/>
    </row>
    <row r="313" spans="1:9" ht="15" customHeight="1">
      <c r="A313" t="s">
        <v>273</v>
      </c>
      <c r="B313">
        <v>9</v>
      </c>
      <c r="F313" s="716"/>
      <c r="G313" s="716"/>
      <c r="H313" s="716"/>
      <c r="I313" s="716"/>
    </row>
    <row r="314" spans="1:9" ht="15" customHeight="1">
      <c r="A314" t="s">
        <v>274</v>
      </c>
      <c r="B314">
        <v>10</v>
      </c>
      <c r="F314" s="716"/>
      <c r="G314" s="716"/>
      <c r="H314" s="716"/>
      <c r="I314" s="716"/>
    </row>
    <row r="315" spans="1:9" ht="15" customHeight="1">
      <c r="A315" t="s">
        <v>275</v>
      </c>
      <c r="B315">
        <v>11</v>
      </c>
      <c r="F315" s="716"/>
      <c r="G315" s="716"/>
      <c r="H315" s="716"/>
      <c r="I315" s="716"/>
    </row>
    <row r="316" spans="1:9" ht="15" customHeight="1">
      <c r="A316" t="s">
        <v>276</v>
      </c>
      <c r="B316">
        <v>12</v>
      </c>
      <c r="F316" s="716"/>
      <c r="G316" s="716"/>
      <c r="H316" s="716"/>
      <c r="I316" s="716"/>
    </row>
    <row r="317" spans="1:9" ht="15" customHeight="1">
      <c r="A317" t="s">
        <v>277</v>
      </c>
      <c r="B317">
        <v>13</v>
      </c>
      <c r="F317" s="716"/>
      <c r="G317" s="716"/>
      <c r="H317" s="716"/>
      <c r="I317" s="716"/>
    </row>
    <row r="318" spans="1:9" ht="15" customHeight="1">
      <c r="A318" t="s">
        <v>278</v>
      </c>
      <c r="B318">
        <v>14</v>
      </c>
      <c r="F318" s="716"/>
      <c r="G318" s="716"/>
      <c r="H318" s="716"/>
      <c r="I318" s="716"/>
    </row>
    <row r="319" spans="1:9" ht="15" customHeight="1">
      <c r="A319" t="s">
        <v>279</v>
      </c>
      <c r="B319">
        <v>15</v>
      </c>
      <c r="F319" s="716"/>
      <c r="G319" s="716"/>
      <c r="H319" s="716"/>
      <c r="I319" s="716"/>
    </row>
    <row r="320" spans="1:9" ht="15" customHeight="1">
      <c r="A320" t="s">
        <v>280</v>
      </c>
      <c r="B320">
        <v>16</v>
      </c>
      <c r="F320" s="716"/>
      <c r="G320" s="716"/>
      <c r="H320" s="716"/>
      <c r="I320" s="716"/>
    </row>
    <row r="321" spans="1:64" ht="20.100000000000001" customHeight="1">
      <c r="A321" s="790"/>
      <c r="B321" s="790"/>
      <c r="C321" s="790"/>
      <c r="D321" s="790"/>
      <c r="E321" s="790"/>
      <c r="F321" s="790"/>
      <c r="G321" s="790"/>
      <c r="H321" s="790"/>
      <c r="I321" s="790"/>
    </row>
    <row r="322" spans="1:64" ht="15" customHeight="1">
      <c r="A322" s="791" t="s">
        <v>266</v>
      </c>
      <c r="B322" s="791"/>
      <c r="C322" s="791" t="s">
        <v>267</v>
      </c>
      <c r="D322" s="791"/>
      <c r="E322" s="791" t="s">
        <v>268</v>
      </c>
      <c r="F322" s="791"/>
      <c r="G322" s="791" t="s">
        <v>269</v>
      </c>
      <c r="H322" s="791"/>
      <c r="I322" s="791" t="s">
        <v>270</v>
      </c>
      <c r="J322" s="792"/>
      <c r="K322" s="792" t="s">
        <v>271</v>
      </c>
      <c r="L322" s="792"/>
      <c r="M322" s="792" t="s">
        <v>47</v>
      </c>
      <c r="N322" s="792"/>
      <c r="O322" s="792" t="s">
        <v>272</v>
      </c>
      <c r="P322" s="792"/>
      <c r="Q322" s="792" t="s">
        <v>273</v>
      </c>
      <c r="R322" s="792"/>
      <c r="S322" s="792" t="s">
        <v>274</v>
      </c>
      <c r="T322" s="792"/>
      <c r="U322" s="792" t="s">
        <v>275</v>
      </c>
      <c r="V322" s="792"/>
      <c r="W322" s="792" t="s">
        <v>276</v>
      </c>
      <c r="X322" s="792"/>
      <c r="Y322" s="792" t="s">
        <v>277</v>
      </c>
      <c r="Z322" s="792"/>
      <c r="AA322" s="792" t="s">
        <v>278</v>
      </c>
      <c r="AB322" s="792"/>
      <c r="AC322" s="792" t="s">
        <v>279</v>
      </c>
      <c r="AD322" s="792"/>
      <c r="AE322" s="792" t="s">
        <v>280</v>
      </c>
      <c r="AF322" s="792"/>
      <c r="AG322" s="792"/>
      <c r="AH322" s="792"/>
      <c r="AI322" s="792"/>
      <c r="AJ322" s="792"/>
      <c r="AK322" s="792"/>
      <c r="AL322" s="792"/>
      <c r="AM322" s="792"/>
      <c r="AN322" s="792"/>
      <c r="AO322" s="792"/>
      <c r="AP322" s="792"/>
      <c r="AQ322" s="792"/>
      <c r="AR322" s="792"/>
      <c r="AS322" s="792"/>
      <c r="AT322" s="792"/>
      <c r="AU322" s="792"/>
      <c r="AV322" s="792"/>
      <c r="AW322" s="792"/>
      <c r="AX322" s="792"/>
      <c r="AY322" s="792"/>
      <c r="AZ322" s="792"/>
      <c r="BA322" s="792"/>
      <c r="BB322" s="792"/>
      <c r="BC322" s="792"/>
      <c r="BD322" s="792"/>
      <c r="BE322" s="792"/>
      <c r="BF322" s="792"/>
      <c r="BG322" s="792"/>
      <c r="BH322" s="792"/>
      <c r="BI322" s="792"/>
      <c r="BJ322" s="792"/>
      <c r="BK322" s="792"/>
      <c r="BL322" s="792"/>
    </row>
    <row r="323" spans="1:64" ht="15" customHeight="1">
      <c r="A323" s="793" t="s">
        <v>281</v>
      </c>
      <c r="B323" s="793" t="s">
        <v>282</v>
      </c>
      <c r="C323" s="793" t="s">
        <v>281</v>
      </c>
      <c r="D323" s="793" t="s">
        <v>282</v>
      </c>
      <c r="E323" s="793" t="s">
        <v>281</v>
      </c>
      <c r="F323" s="793" t="s">
        <v>282</v>
      </c>
      <c r="G323" s="793" t="s">
        <v>281</v>
      </c>
      <c r="H323" s="793" t="s">
        <v>282</v>
      </c>
      <c r="I323" s="793" t="s">
        <v>281</v>
      </c>
      <c r="J323" s="794" t="s">
        <v>282</v>
      </c>
      <c r="K323" s="794" t="s">
        <v>281</v>
      </c>
      <c r="L323" s="794" t="s">
        <v>282</v>
      </c>
      <c r="M323" s="794" t="s">
        <v>281</v>
      </c>
      <c r="N323" s="794" t="s">
        <v>282</v>
      </c>
      <c r="O323" s="794" t="s">
        <v>281</v>
      </c>
      <c r="P323" s="794" t="s">
        <v>282</v>
      </c>
      <c r="Q323" s="794" t="s">
        <v>281</v>
      </c>
      <c r="R323" s="794" t="s">
        <v>282</v>
      </c>
      <c r="S323" s="794" t="s">
        <v>281</v>
      </c>
      <c r="T323" s="794" t="s">
        <v>282</v>
      </c>
      <c r="U323" s="794" t="s">
        <v>281</v>
      </c>
      <c r="V323" s="794" t="s">
        <v>282</v>
      </c>
      <c r="W323" s="794" t="s">
        <v>281</v>
      </c>
      <c r="X323" s="794" t="s">
        <v>282</v>
      </c>
      <c r="Y323" s="794" t="s">
        <v>281</v>
      </c>
      <c r="Z323" s="794" t="s">
        <v>282</v>
      </c>
      <c r="AA323" s="794" t="s">
        <v>281</v>
      </c>
      <c r="AB323" s="794" t="s">
        <v>282</v>
      </c>
      <c r="AC323" s="794" t="s">
        <v>281</v>
      </c>
      <c r="AD323" s="794" t="s">
        <v>282</v>
      </c>
      <c r="AE323" s="794" t="s">
        <v>281</v>
      </c>
      <c r="AF323" s="794" t="s">
        <v>282</v>
      </c>
      <c r="AG323" s="794"/>
      <c r="AH323" s="794"/>
      <c r="AI323" s="794"/>
      <c r="AJ323" s="794"/>
      <c r="AK323" s="794"/>
      <c r="AL323" s="794"/>
      <c r="AM323" s="794"/>
      <c r="AN323" s="794"/>
      <c r="AO323" s="794"/>
      <c r="AP323" s="794"/>
      <c r="AQ323" s="794"/>
      <c r="AR323" s="794"/>
      <c r="AS323" s="794"/>
      <c r="AT323" s="794"/>
      <c r="AU323" s="794"/>
      <c r="AV323" s="794"/>
      <c r="AW323" s="794"/>
      <c r="AX323" s="794"/>
      <c r="AY323" s="794"/>
      <c r="AZ323" s="794"/>
      <c r="BA323" s="794"/>
      <c r="BB323" s="794"/>
      <c r="BC323" s="794"/>
      <c r="BD323" s="794"/>
      <c r="BE323" s="794"/>
      <c r="BF323" s="794"/>
      <c r="BG323" s="794"/>
      <c r="BH323" s="794"/>
      <c r="BI323" s="794"/>
      <c r="BJ323" s="794"/>
      <c r="BK323" s="794"/>
      <c r="BL323" s="794"/>
    </row>
    <row r="324" spans="1:64" ht="15" customHeight="1">
      <c r="A324" s="795" t="s">
        <v>283</v>
      </c>
      <c r="B324" s="795" t="str">
        <f t="shared" ref="B324:B387" si="85">VLOOKUP(A324,BaWü,IF(Jahreszahl&lt;2020,3,2))</f>
        <v>III</v>
      </c>
      <c r="C324" s="795" t="s">
        <v>284</v>
      </c>
      <c r="D324" s="795" t="str">
        <f t="shared" ref="D324:D387" si="86">VLOOKUP(C324,Bayern,IF(Jahreszahl&lt;2020,3,2))</f>
        <v>II</v>
      </c>
      <c r="E324" s="795" t="s">
        <v>285</v>
      </c>
      <c r="F324" s="795" t="str">
        <f>VLOOKUP(E324,Berlin,IF(Jahreszahl&lt;2020,3,2))</f>
        <v>IV</v>
      </c>
      <c r="G324" s="795" t="s">
        <v>286</v>
      </c>
      <c r="H324" s="795" t="str">
        <f t="shared" ref="H324:H355" si="87">VLOOKUP(G324,Brandenburg,IF(Jahreszahl&lt;2020,3,2))</f>
        <v>II</v>
      </c>
      <c r="I324" s="795" t="s">
        <v>287</v>
      </c>
      <c r="J324" s="796" t="str">
        <f>VLOOKUP(I324,Bremen,IF(Jahreszahl&lt;2020,3,2))</f>
        <v>IV</v>
      </c>
      <c r="K324" s="796" t="s">
        <v>288</v>
      </c>
      <c r="L324" s="796" t="str">
        <f>VLOOKUP(K324,Hamburg,IF(Jahreszahl&lt;2020,3,2))</f>
        <v>VI</v>
      </c>
      <c r="M324" s="796" t="s">
        <v>289</v>
      </c>
      <c r="N324" s="796" t="str">
        <f t="shared" ref="N324:N355" si="88">VLOOKUP(M324,Hessen,IF(Jahreszahl&lt;2020,3,2))</f>
        <v>I</v>
      </c>
      <c r="O324" s="796" t="s">
        <v>290</v>
      </c>
      <c r="P324" s="796" t="str">
        <f t="shared" ref="P324:P350" si="89">VLOOKUP(O324,MeckPom,IF(Jahreszahl&lt;2020,3,2))</f>
        <v>II</v>
      </c>
      <c r="Q324" s="796" t="s">
        <v>291</v>
      </c>
      <c r="R324" s="796" t="str">
        <f t="shared" ref="R324:R387" si="90">VLOOKUP(Q324,Niedersachsen,IF(Jahreszahl&lt;2020,3,2))</f>
        <v>III</v>
      </c>
      <c r="S324" s="796" t="s">
        <v>292</v>
      </c>
      <c r="T324" s="796" t="str">
        <f t="shared" ref="T324:T387" si="91">VLOOKUP(S324,NRW,IF(Jahreszahl&lt;2020,3,2))</f>
        <v>IV</v>
      </c>
      <c r="U324" s="796" t="s">
        <v>293</v>
      </c>
      <c r="V324" s="796" t="str">
        <f t="shared" ref="V324:V355" si="92">VLOOKUP(U324,RLP,IF(Jahreszahl&lt;2020,3,2))</f>
        <v>III</v>
      </c>
      <c r="W324" s="796" t="s">
        <v>294</v>
      </c>
      <c r="X324" s="796" t="str">
        <f t="shared" ref="X324:X369" si="93">VLOOKUP(W324,Saarland,IF(Jahreszahl&lt;2020,3,2))</f>
        <v>I</v>
      </c>
      <c r="Y324" s="796" t="s">
        <v>295</v>
      </c>
      <c r="Z324" s="796" t="str">
        <f t="shared" ref="Z324:Z355" si="94">VLOOKUP(Y324,Sachsen,IF(Jahreszahl&lt;2020,3,2))</f>
        <v>I</v>
      </c>
      <c r="AA324" s="796" t="s">
        <v>296</v>
      </c>
      <c r="AB324" s="796" t="str">
        <f t="shared" ref="AB324:AB355" si="95">VLOOKUP(AA324,Saanhalt,IF(Jahreszahl&lt;2020,3,2))</f>
        <v>II</v>
      </c>
      <c r="AC324" s="796" t="s">
        <v>297</v>
      </c>
      <c r="AD324" s="796" t="str">
        <f t="shared" ref="AD324:AD355" si="96">VLOOKUP(AC324,Schleswig,IF(Jahreszahl&lt;2020,3,2))</f>
        <v>VII</v>
      </c>
      <c r="AE324" s="796" t="s">
        <v>298</v>
      </c>
      <c r="AF324" s="796" t="str">
        <f t="shared" ref="AF324:AF355" si="97">VLOOKUP(AE324,Thüringen,IF(Jahreszahl&lt;2020,3,2))</f>
        <v>II</v>
      </c>
      <c r="AG324" s="796"/>
      <c r="AH324" s="796"/>
      <c r="AI324" s="796"/>
      <c r="AJ324" s="796"/>
      <c r="AK324" s="796"/>
      <c r="AL324" s="796"/>
      <c r="AM324" s="796"/>
      <c r="AN324" s="796"/>
      <c r="AO324" s="796"/>
      <c r="AP324" s="796"/>
      <c r="AQ324" s="796"/>
      <c r="AR324" s="796"/>
      <c r="AS324" s="796"/>
      <c r="AT324" s="796"/>
      <c r="AU324" s="796"/>
      <c r="AV324" s="796"/>
      <c r="AW324" s="796"/>
      <c r="AX324" s="796"/>
      <c r="AY324" s="796"/>
      <c r="AZ324" s="796"/>
      <c r="BA324" s="796"/>
      <c r="BB324" s="796"/>
      <c r="BC324" s="796"/>
      <c r="BD324" s="796"/>
      <c r="BE324" s="796"/>
      <c r="BF324" s="796"/>
      <c r="BG324" s="796"/>
      <c r="BH324" s="796"/>
      <c r="BI324" s="796"/>
      <c r="BJ324" s="796"/>
      <c r="BK324" s="796"/>
      <c r="BL324" s="796"/>
    </row>
    <row r="325" spans="1:64" ht="15" customHeight="1">
      <c r="A325" s="795" t="s">
        <v>299</v>
      </c>
      <c r="B325" s="795" t="str">
        <f t="shared" si="85"/>
        <v>II</v>
      </c>
      <c r="C325" s="795" t="s">
        <v>300</v>
      </c>
      <c r="D325" s="795" t="str">
        <f t="shared" si="86"/>
        <v>III</v>
      </c>
      <c r="E325" s="795"/>
      <c r="F325" s="795"/>
      <c r="G325" s="795" t="s">
        <v>301</v>
      </c>
      <c r="H325" s="795" t="str">
        <f t="shared" si="87"/>
        <v>II</v>
      </c>
      <c r="I325" s="795" t="s">
        <v>302</v>
      </c>
      <c r="J325" s="796" t="str">
        <f>VLOOKUP(I325,Bremen,IF(Jahreszahl&lt;2020,3,2))</f>
        <v>II</v>
      </c>
      <c r="M325" s="796" t="s">
        <v>303</v>
      </c>
      <c r="N325" s="796" t="str">
        <f t="shared" si="88"/>
        <v>III</v>
      </c>
      <c r="O325" s="796" t="s">
        <v>304</v>
      </c>
      <c r="P325" s="796" t="str">
        <f t="shared" si="89"/>
        <v>III</v>
      </c>
      <c r="Q325" s="796" t="s">
        <v>305</v>
      </c>
      <c r="R325" s="796" t="str">
        <f t="shared" si="90"/>
        <v>IV</v>
      </c>
      <c r="S325" s="796" t="s">
        <v>306</v>
      </c>
      <c r="T325" s="796" t="str">
        <f t="shared" si="91"/>
        <v>II</v>
      </c>
      <c r="U325" s="796" t="s">
        <v>307</v>
      </c>
      <c r="V325" s="796" t="str">
        <f t="shared" si="92"/>
        <v>II</v>
      </c>
      <c r="W325" s="796" t="s">
        <v>308</v>
      </c>
      <c r="X325" s="796" t="str">
        <f t="shared" si="93"/>
        <v>I</v>
      </c>
      <c r="Y325" s="796" t="s">
        <v>309</v>
      </c>
      <c r="Z325" s="796" t="str">
        <f t="shared" si="94"/>
        <v>I</v>
      </c>
      <c r="AA325" s="796" t="s">
        <v>310</v>
      </c>
      <c r="AB325" s="796" t="str">
        <f t="shared" si="95"/>
        <v>II</v>
      </c>
      <c r="AC325" s="796" t="s">
        <v>311</v>
      </c>
      <c r="AD325" s="796" t="str">
        <f t="shared" si="96"/>
        <v>III</v>
      </c>
      <c r="AE325" s="796" t="s">
        <v>312</v>
      </c>
      <c r="AF325" s="796" t="str">
        <f t="shared" si="97"/>
        <v>II</v>
      </c>
      <c r="AG325" s="796"/>
      <c r="AH325" s="796"/>
      <c r="AI325" s="796"/>
      <c r="AJ325" s="796"/>
      <c r="AK325" s="796"/>
      <c r="AL325" s="796"/>
      <c r="AM325" s="796"/>
      <c r="AN325" s="796"/>
      <c r="AO325" s="796"/>
      <c r="AP325" s="796"/>
      <c r="AQ325" s="796"/>
      <c r="AR325" s="796"/>
      <c r="AS325" s="796"/>
      <c r="AT325" s="796"/>
      <c r="AU325" s="796"/>
      <c r="AV325" s="796"/>
      <c r="AW325" s="796"/>
      <c r="AX325" s="796"/>
      <c r="AY325" s="796"/>
      <c r="AZ325" s="796"/>
      <c r="BA325" s="796"/>
      <c r="BB325" s="796"/>
      <c r="BC325" s="796"/>
      <c r="BD325" s="796"/>
      <c r="BE325" s="796"/>
      <c r="BF325" s="796"/>
      <c r="BG325" s="796"/>
      <c r="BH325" s="796"/>
      <c r="BI325" s="796"/>
      <c r="BJ325" s="796"/>
      <c r="BK325" s="796"/>
      <c r="BL325" s="796"/>
    </row>
    <row r="326" spans="1:64" ht="15" customHeight="1">
      <c r="A326" s="795" t="s">
        <v>313</v>
      </c>
      <c r="B326" s="795" t="str">
        <f t="shared" si="85"/>
        <v>IV</v>
      </c>
      <c r="C326" s="795" t="s">
        <v>314</v>
      </c>
      <c r="D326" s="795" t="str">
        <f t="shared" si="86"/>
        <v>III</v>
      </c>
      <c r="E326" s="795"/>
      <c r="F326" s="795"/>
      <c r="G326" s="795" t="s">
        <v>315</v>
      </c>
      <c r="H326" s="795" t="str">
        <f t="shared" si="87"/>
        <v>I</v>
      </c>
      <c r="I326" s="795"/>
      <c r="M326" s="796" t="s">
        <v>316</v>
      </c>
      <c r="N326" s="796" t="str">
        <f t="shared" si="88"/>
        <v>II</v>
      </c>
      <c r="O326" s="796" t="s">
        <v>317</v>
      </c>
      <c r="P326" s="796" t="str">
        <f t="shared" si="89"/>
        <v>II</v>
      </c>
      <c r="Q326" s="796" t="s">
        <v>318</v>
      </c>
      <c r="R326" s="796" t="str">
        <f t="shared" si="90"/>
        <v>I</v>
      </c>
      <c r="S326" s="796" t="s">
        <v>319</v>
      </c>
      <c r="T326" s="796" t="str">
        <f t="shared" si="91"/>
        <v>II</v>
      </c>
      <c r="U326" s="796" t="s">
        <v>320</v>
      </c>
      <c r="V326" s="796" t="str">
        <f t="shared" si="92"/>
        <v>III</v>
      </c>
      <c r="W326" s="796" t="s">
        <v>321</v>
      </c>
      <c r="X326" s="796" t="str">
        <f t="shared" si="93"/>
        <v>II</v>
      </c>
      <c r="Y326" s="796" t="s">
        <v>322</v>
      </c>
      <c r="Z326" s="796" t="str">
        <f t="shared" si="94"/>
        <v>I</v>
      </c>
      <c r="AA326" s="796" t="s">
        <v>323</v>
      </c>
      <c r="AB326" s="796" t="str">
        <f t="shared" si="95"/>
        <v>II</v>
      </c>
      <c r="AC326" s="796" t="s">
        <v>324</v>
      </c>
      <c r="AD326" s="796" t="str">
        <f t="shared" si="96"/>
        <v>IV</v>
      </c>
      <c r="AE326" s="796" t="s">
        <v>325</v>
      </c>
      <c r="AF326" s="796" t="str">
        <f t="shared" si="97"/>
        <v>II</v>
      </c>
      <c r="AG326" s="796"/>
      <c r="AH326" s="796"/>
      <c r="AI326" s="796"/>
      <c r="AJ326" s="796"/>
      <c r="AK326" s="796"/>
      <c r="AL326" s="796"/>
      <c r="AM326" s="796"/>
      <c r="AN326" s="796"/>
      <c r="AO326" s="796"/>
      <c r="AP326" s="796"/>
      <c r="AQ326" s="796"/>
      <c r="AR326" s="796"/>
      <c r="AS326" s="796"/>
      <c r="AT326" s="796"/>
      <c r="AU326" s="796"/>
      <c r="AV326" s="796"/>
      <c r="AW326" s="796"/>
      <c r="AX326" s="796"/>
      <c r="AY326" s="796"/>
      <c r="AZ326" s="796"/>
      <c r="BA326" s="796"/>
      <c r="BB326" s="796"/>
      <c r="BC326" s="796"/>
      <c r="BD326" s="796"/>
      <c r="BE326" s="796"/>
      <c r="BF326" s="796"/>
      <c r="BG326" s="796"/>
      <c r="BH326" s="796"/>
      <c r="BI326" s="796"/>
      <c r="BJ326" s="796"/>
      <c r="BK326" s="796"/>
      <c r="BL326" s="796"/>
    </row>
    <row r="327" spans="1:64" ht="15" customHeight="1">
      <c r="A327" s="795" t="s">
        <v>326</v>
      </c>
      <c r="B327" s="795" t="str">
        <f t="shared" si="85"/>
        <v>II</v>
      </c>
      <c r="C327" s="795" t="s">
        <v>327</v>
      </c>
      <c r="D327" s="795" t="str">
        <f t="shared" si="86"/>
        <v>III</v>
      </c>
      <c r="E327" s="795"/>
      <c r="F327" s="795"/>
      <c r="G327" s="795" t="s">
        <v>328</v>
      </c>
      <c r="H327" s="795" t="str">
        <f t="shared" si="87"/>
        <v>III</v>
      </c>
      <c r="I327" s="795"/>
      <c r="M327" s="796" t="s">
        <v>329</v>
      </c>
      <c r="N327" s="796" t="str">
        <f t="shared" si="88"/>
        <v>III</v>
      </c>
      <c r="O327" s="796" t="s">
        <v>330</v>
      </c>
      <c r="P327" s="796" t="str">
        <f t="shared" si="89"/>
        <v>II</v>
      </c>
      <c r="Q327" s="796" t="s">
        <v>331</v>
      </c>
      <c r="R327" s="796" t="str">
        <f t="shared" si="90"/>
        <v>I</v>
      </c>
      <c r="S327" s="796" t="s">
        <v>332</v>
      </c>
      <c r="T327" s="796" t="str">
        <f t="shared" si="91"/>
        <v>III</v>
      </c>
      <c r="U327" s="796" t="s">
        <v>333</v>
      </c>
      <c r="V327" s="796" t="str">
        <f t="shared" si="92"/>
        <v>III</v>
      </c>
      <c r="W327" s="796" t="s">
        <v>334</v>
      </c>
      <c r="X327" s="796" t="str">
        <f t="shared" si="93"/>
        <v>II</v>
      </c>
      <c r="Y327" s="796" t="s">
        <v>335</v>
      </c>
      <c r="Z327" s="796" t="str">
        <f t="shared" si="94"/>
        <v>III</v>
      </c>
      <c r="AA327" s="796" t="s">
        <v>336</v>
      </c>
      <c r="AB327" s="796" t="str">
        <f t="shared" si="95"/>
        <v>III</v>
      </c>
      <c r="AC327" s="796" t="s">
        <v>337</v>
      </c>
      <c r="AD327" s="796" t="str">
        <f t="shared" si="96"/>
        <v>V</v>
      </c>
      <c r="AE327" s="796" t="s">
        <v>338</v>
      </c>
      <c r="AF327" s="796" t="str">
        <f t="shared" si="97"/>
        <v>I</v>
      </c>
      <c r="AG327" s="796"/>
      <c r="AH327" s="796"/>
      <c r="AI327" s="796"/>
      <c r="AJ327" s="796"/>
      <c r="AK327" s="796"/>
      <c r="AL327" s="796"/>
      <c r="AM327" s="796"/>
      <c r="AN327" s="796"/>
      <c r="AO327" s="796"/>
      <c r="AP327" s="796"/>
      <c r="AQ327" s="796"/>
      <c r="AR327" s="796"/>
      <c r="AS327" s="796"/>
      <c r="AT327" s="796"/>
      <c r="AU327" s="796"/>
      <c r="AV327" s="796"/>
      <c r="AW327" s="796"/>
      <c r="AX327" s="796"/>
      <c r="AY327" s="796"/>
      <c r="AZ327" s="796"/>
      <c r="BA327" s="796"/>
      <c r="BB327" s="796"/>
      <c r="BC327" s="796"/>
      <c r="BD327" s="796"/>
      <c r="BE327" s="796"/>
      <c r="BF327" s="796"/>
      <c r="BG327" s="796"/>
      <c r="BH327" s="796"/>
      <c r="BI327" s="796"/>
      <c r="BJ327" s="796"/>
      <c r="BK327" s="796"/>
      <c r="BL327" s="796"/>
    </row>
    <row r="328" spans="1:64" ht="15" customHeight="1">
      <c r="A328" s="795" t="s">
        <v>339</v>
      </c>
      <c r="B328" s="795" t="str">
        <f t="shared" si="85"/>
        <v>II</v>
      </c>
      <c r="C328" s="795" t="s">
        <v>340</v>
      </c>
      <c r="D328" s="795" t="str">
        <f t="shared" si="86"/>
        <v>II</v>
      </c>
      <c r="E328" s="795"/>
      <c r="F328" s="795"/>
      <c r="G328" s="795" t="s">
        <v>268</v>
      </c>
      <c r="H328" s="795" t="str">
        <f t="shared" si="87"/>
        <v>IV</v>
      </c>
      <c r="I328" s="795"/>
      <c r="M328" s="796" t="s">
        <v>341</v>
      </c>
      <c r="N328" s="796" t="str">
        <f t="shared" si="88"/>
        <v>I</v>
      </c>
      <c r="O328" s="796" t="s">
        <v>342</v>
      </c>
      <c r="P328" s="796" t="str">
        <f t="shared" si="89"/>
        <v>II</v>
      </c>
      <c r="Q328" s="796" t="s">
        <v>343</v>
      </c>
      <c r="R328" s="796" t="str">
        <f t="shared" si="90"/>
        <v>I</v>
      </c>
      <c r="S328" s="796" t="s">
        <v>344</v>
      </c>
      <c r="T328" s="796" t="str">
        <f t="shared" si="91"/>
        <v>IV</v>
      </c>
      <c r="U328" s="796" t="s">
        <v>345</v>
      </c>
      <c r="V328" s="796" t="str">
        <f t="shared" si="92"/>
        <v>III</v>
      </c>
      <c r="W328" s="796" t="s">
        <v>346</v>
      </c>
      <c r="X328" s="796" t="str">
        <f t="shared" si="93"/>
        <v>I</v>
      </c>
      <c r="Y328" s="796" t="s">
        <v>347</v>
      </c>
      <c r="Z328" s="796" t="str">
        <f t="shared" si="94"/>
        <v>II</v>
      </c>
      <c r="AA328" s="796" t="s">
        <v>348</v>
      </c>
      <c r="AB328" s="796" t="str">
        <f t="shared" si="95"/>
        <v>I</v>
      </c>
      <c r="AC328" s="796" t="s">
        <v>349</v>
      </c>
      <c r="AD328" s="796" t="str">
        <f t="shared" si="96"/>
        <v>IV</v>
      </c>
      <c r="AE328" s="796" t="s">
        <v>350</v>
      </c>
      <c r="AF328" s="796" t="str">
        <f t="shared" si="97"/>
        <v>II</v>
      </c>
      <c r="AG328" s="796"/>
      <c r="AH328" s="796"/>
      <c r="AI328" s="796"/>
      <c r="AJ328" s="796"/>
      <c r="AK328" s="796"/>
      <c r="AL328" s="796"/>
      <c r="AM328" s="796"/>
      <c r="AN328" s="796"/>
      <c r="AO328" s="796"/>
      <c r="AP328" s="796"/>
      <c r="AQ328" s="796"/>
      <c r="AR328" s="796"/>
      <c r="AS328" s="796"/>
      <c r="AT328" s="796"/>
      <c r="AU328" s="796"/>
      <c r="AV328" s="796"/>
      <c r="AW328" s="796"/>
      <c r="AX328" s="796"/>
      <c r="AY328" s="796"/>
      <c r="AZ328" s="796"/>
      <c r="BA328" s="796"/>
      <c r="BB328" s="796"/>
      <c r="BC328" s="796"/>
      <c r="BD328" s="796"/>
      <c r="BE328" s="796"/>
      <c r="BF328" s="796"/>
      <c r="BG328" s="796"/>
      <c r="BH328" s="796"/>
      <c r="BI328" s="796"/>
      <c r="BJ328" s="796"/>
      <c r="BK328" s="796"/>
      <c r="BL328" s="796"/>
    </row>
    <row r="329" spans="1:64" ht="15" customHeight="1">
      <c r="A329" s="795" t="s">
        <v>351</v>
      </c>
      <c r="B329" s="795" t="str">
        <f t="shared" si="85"/>
        <v>IV</v>
      </c>
      <c r="C329" s="795" t="s">
        <v>352</v>
      </c>
      <c r="D329" s="795" t="str">
        <f t="shared" si="86"/>
        <v>I</v>
      </c>
      <c r="E329" s="795"/>
      <c r="F329" s="795"/>
      <c r="G329" s="795" t="s">
        <v>353</v>
      </c>
      <c r="H329" s="795" t="str">
        <f t="shared" si="87"/>
        <v>III</v>
      </c>
      <c r="I329" s="795"/>
      <c r="M329" s="796" t="s">
        <v>354</v>
      </c>
      <c r="N329" s="796" t="str">
        <f t="shared" si="88"/>
        <v>II</v>
      </c>
      <c r="O329" s="796" t="s">
        <v>355</v>
      </c>
      <c r="P329" s="796" t="str">
        <f t="shared" si="89"/>
        <v>III</v>
      </c>
      <c r="Q329" s="796" t="s">
        <v>356</v>
      </c>
      <c r="R329" s="796" t="str">
        <f t="shared" si="90"/>
        <v>I</v>
      </c>
      <c r="S329" s="796" t="s">
        <v>357</v>
      </c>
      <c r="T329" s="796" t="str">
        <f t="shared" si="91"/>
        <v>II</v>
      </c>
      <c r="U329" s="796" t="s">
        <v>358</v>
      </c>
      <c r="V329" s="796" t="str">
        <f t="shared" si="92"/>
        <v>II</v>
      </c>
      <c r="W329" s="796" t="s">
        <v>359</v>
      </c>
      <c r="X329" s="796" t="str">
        <f t="shared" si="93"/>
        <v>I</v>
      </c>
      <c r="Y329" s="796" t="s">
        <v>360</v>
      </c>
      <c r="Z329" s="796" t="str">
        <f t="shared" si="94"/>
        <v>II</v>
      </c>
      <c r="AA329" s="796" t="s">
        <v>361</v>
      </c>
      <c r="AB329" s="796" t="str">
        <f t="shared" si="95"/>
        <v>II</v>
      </c>
      <c r="AC329" s="796" t="s">
        <v>362</v>
      </c>
      <c r="AD329" s="796" t="str">
        <f t="shared" si="96"/>
        <v>V</v>
      </c>
      <c r="AE329" s="796" t="s">
        <v>363</v>
      </c>
      <c r="AF329" s="796" t="str">
        <f t="shared" si="97"/>
        <v>II</v>
      </c>
      <c r="AG329" s="796"/>
      <c r="AH329" s="796"/>
      <c r="AI329" s="796"/>
      <c r="AJ329" s="796"/>
      <c r="AK329" s="796"/>
      <c r="AL329" s="796"/>
      <c r="AM329" s="796"/>
      <c r="AN329" s="796"/>
      <c r="AO329" s="796"/>
      <c r="AP329" s="796"/>
      <c r="AQ329" s="796"/>
      <c r="AR329" s="796"/>
      <c r="AS329" s="796"/>
      <c r="AT329" s="796"/>
      <c r="AU329" s="796"/>
      <c r="AV329" s="796"/>
      <c r="AW329" s="796"/>
      <c r="AX329" s="796"/>
      <c r="AY329" s="796"/>
      <c r="AZ329" s="796"/>
      <c r="BA329" s="796"/>
      <c r="BB329" s="796"/>
      <c r="BC329" s="796"/>
      <c r="BD329" s="796"/>
      <c r="BE329" s="796"/>
      <c r="BF329" s="796"/>
      <c r="BG329" s="796"/>
      <c r="BH329" s="796"/>
      <c r="BI329" s="796"/>
      <c r="BJ329" s="796"/>
      <c r="BK329" s="796"/>
      <c r="BL329" s="796"/>
    </row>
    <row r="330" spans="1:64" ht="15" customHeight="1">
      <c r="A330" s="795" t="s">
        <v>364</v>
      </c>
      <c r="B330" s="795" t="str">
        <f t="shared" si="85"/>
        <v>II</v>
      </c>
      <c r="C330" s="795" t="s">
        <v>365</v>
      </c>
      <c r="D330" s="795" t="str">
        <f t="shared" si="86"/>
        <v>II</v>
      </c>
      <c r="E330" s="795"/>
      <c r="F330" s="795"/>
      <c r="G330" s="795" t="s">
        <v>366</v>
      </c>
      <c r="H330" s="795" t="str">
        <f t="shared" si="87"/>
        <v>IV</v>
      </c>
      <c r="I330" s="795"/>
      <c r="M330" s="796" t="s">
        <v>367</v>
      </c>
      <c r="N330" s="796" t="str">
        <f t="shared" si="88"/>
        <v>I</v>
      </c>
      <c r="O330" s="796" t="s">
        <v>368</v>
      </c>
      <c r="P330" s="796" t="str">
        <f t="shared" si="89"/>
        <v>II</v>
      </c>
      <c r="Q330" s="796" t="s">
        <v>369</v>
      </c>
      <c r="R330" s="796" t="str">
        <f t="shared" si="90"/>
        <v>II</v>
      </c>
      <c r="S330" s="796" t="s">
        <v>370</v>
      </c>
      <c r="T330" s="796" t="str">
        <f t="shared" si="91"/>
        <v>II</v>
      </c>
      <c r="U330" s="796" t="s">
        <v>371</v>
      </c>
      <c r="V330" s="796" t="str">
        <f t="shared" si="92"/>
        <v>I</v>
      </c>
      <c r="W330" s="796" t="s">
        <v>372</v>
      </c>
      <c r="X330" s="796" t="str">
        <f t="shared" si="93"/>
        <v>II</v>
      </c>
      <c r="Y330" s="796" t="s">
        <v>373</v>
      </c>
      <c r="Z330" s="796" t="str">
        <f t="shared" si="94"/>
        <v>II</v>
      </c>
      <c r="AA330" s="796" t="s">
        <v>374</v>
      </c>
      <c r="AB330" s="796" t="str">
        <f t="shared" si="95"/>
        <v>II</v>
      </c>
      <c r="AC330" s="796" t="s">
        <v>375</v>
      </c>
      <c r="AD330" s="796" t="str">
        <f t="shared" si="96"/>
        <v>IV</v>
      </c>
      <c r="AE330" s="796" t="s">
        <v>376</v>
      </c>
      <c r="AF330" s="796" t="str">
        <f t="shared" si="97"/>
        <v>I</v>
      </c>
      <c r="AG330" s="796"/>
      <c r="AH330" s="796"/>
      <c r="AI330" s="796"/>
      <c r="AJ330" s="796"/>
      <c r="AK330" s="796"/>
      <c r="AL330" s="796"/>
      <c r="AM330" s="796"/>
      <c r="AN330" s="796"/>
      <c r="AO330" s="796"/>
      <c r="AP330" s="796"/>
      <c r="AQ330" s="796"/>
      <c r="AR330" s="796"/>
      <c r="AS330" s="796"/>
      <c r="AT330" s="796"/>
      <c r="AU330" s="796"/>
      <c r="AV330" s="796"/>
      <c r="AW330" s="796"/>
      <c r="AX330" s="796"/>
      <c r="AY330" s="796"/>
      <c r="AZ330" s="796"/>
      <c r="BA330" s="796"/>
      <c r="BB330" s="796"/>
      <c r="BC330" s="796"/>
      <c r="BD330" s="796"/>
      <c r="BE330" s="796"/>
      <c r="BF330" s="796"/>
      <c r="BG330" s="796"/>
      <c r="BH330" s="796"/>
      <c r="BI330" s="796"/>
      <c r="BJ330" s="796"/>
      <c r="BK330" s="796"/>
      <c r="BL330" s="796"/>
    </row>
    <row r="331" spans="1:64" ht="15" customHeight="1">
      <c r="A331" s="795" t="s">
        <v>377</v>
      </c>
      <c r="B331" s="795" t="str">
        <f t="shared" si="85"/>
        <v>V</v>
      </c>
      <c r="C331" s="795" t="s">
        <v>378</v>
      </c>
      <c r="D331" s="795" t="str">
        <f t="shared" si="86"/>
        <v>II</v>
      </c>
      <c r="E331" s="795"/>
      <c r="F331" s="795"/>
      <c r="G331" s="795" t="s">
        <v>379</v>
      </c>
      <c r="H331" s="795" t="str">
        <f t="shared" si="87"/>
        <v>II</v>
      </c>
      <c r="I331" s="795"/>
      <c r="M331" s="796" t="s">
        <v>380</v>
      </c>
      <c r="N331" s="796" t="str">
        <f t="shared" si="88"/>
        <v>VI</v>
      </c>
      <c r="O331" s="796" t="s">
        <v>381</v>
      </c>
      <c r="P331" s="796" t="str">
        <f t="shared" si="89"/>
        <v>II</v>
      </c>
      <c r="Q331" s="796" t="s">
        <v>382</v>
      </c>
      <c r="R331" s="796" t="str">
        <f t="shared" si="90"/>
        <v>I</v>
      </c>
      <c r="S331" s="796" t="s">
        <v>383</v>
      </c>
      <c r="T331" s="796" t="str">
        <f t="shared" si="91"/>
        <v>I</v>
      </c>
      <c r="U331" s="796" t="s">
        <v>384</v>
      </c>
      <c r="V331" s="796" t="str">
        <f t="shared" si="92"/>
        <v>III</v>
      </c>
      <c r="W331" s="796" t="s">
        <v>385</v>
      </c>
      <c r="X331" s="796" t="str">
        <f t="shared" si="93"/>
        <v>III</v>
      </c>
      <c r="Y331" s="796" t="s">
        <v>386</v>
      </c>
      <c r="Z331" s="796" t="str">
        <f t="shared" si="94"/>
        <v>I</v>
      </c>
      <c r="AA331" s="796" t="s">
        <v>387</v>
      </c>
      <c r="AB331" s="796" t="str">
        <f t="shared" si="95"/>
        <v>I</v>
      </c>
      <c r="AC331" s="796" t="s">
        <v>388</v>
      </c>
      <c r="AD331" s="796" t="str">
        <f t="shared" si="96"/>
        <v>VII</v>
      </c>
      <c r="AE331" s="796" t="s">
        <v>389</v>
      </c>
      <c r="AF331" s="796" t="str">
        <f t="shared" si="97"/>
        <v>III</v>
      </c>
      <c r="AG331" s="796"/>
      <c r="AH331" s="796"/>
      <c r="AI331" s="796"/>
      <c r="AJ331" s="796"/>
      <c r="AK331" s="796"/>
      <c r="AL331" s="796"/>
      <c r="AM331" s="796"/>
      <c r="AN331" s="796"/>
      <c r="AO331" s="796"/>
      <c r="AP331" s="796"/>
      <c r="AQ331" s="796"/>
      <c r="AR331" s="796"/>
      <c r="AS331" s="796"/>
      <c r="AT331" s="796"/>
      <c r="AU331" s="796"/>
      <c r="AV331" s="796"/>
      <c r="AW331" s="796"/>
      <c r="AX331" s="796"/>
      <c r="AY331" s="796"/>
      <c r="AZ331" s="796"/>
      <c r="BA331" s="796"/>
      <c r="BB331" s="796"/>
      <c r="BC331" s="796"/>
      <c r="BD331" s="796"/>
      <c r="BE331" s="796"/>
      <c r="BF331" s="796"/>
      <c r="BG331" s="796"/>
      <c r="BH331" s="796"/>
      <c r="BI331" s="796"/>
      <c r="BJ331" s="796"/>
      <c r="BK331" s="796"/>
      <c r="BL331" s="796"/>
    </row>
    <row r="332" spans="1:64" ht="15" customHeight="1">
      <c r="A332" s="796" t="s">
        <v>390</v>
      </c>
      <c r="B332" s="795" t="str">
        <f t="shared" si="85"/>
        <v>II</v>
      </c>
      <c r="C332" s="796" t="s">
        <v>391</v>
      </c>
      <c r="D332" s="795" t="str">
        <f t="shared" si="86"/>
        <v>II</v>
      </c>
      <c r="G332" s="796" t="s">
        <v>392</v>
      </c>
      <c r="H332" s="795" t="str">
        <f t="shared" si="87"/>
        <v>V</v>
      </c>
      <c r="M332" s="796" t="s">
        <v>393</v>
      </c>
      <c r="N332" s="796" t="str">
        <f t="shared" si="88"/>
        <v>IV</v>
      </c>
      <c r="O332" s="796" t="s">
        <v>394</v>
      </c>
      <c r="P332" s="796" t="str">
        <f t="shared" si="89"/>
        <v>II</v>
      </c>
      <c r="Q332" s="796" t="s">
        <v>395</v>
      </c>
      <c r="R332" s="796" t="str">
        <f t="shared" si="90"/>
        <v>I</v>
      </c>
      <c r="S332" s="796" t="s">
        <v>396</v>
      </c>
      <c r="T332" s="796" t="str">
        <f t="shared" si="91"/>
        <v>II</v>
      </c>
      <c r="U332" s="796" t="s">
        <v>397</v>
      </c>
      <c r="V332" s="796" t="str">
        <f t="shared" si="92"/>
        <v>II</v>
      </c>
      <c r="W332" s="796" t="s">
        <v>398</v>
      </c>
      <c r="X332" s="796" t="str">
        <f t="shared" si="93"/>
        <v>I</v>
      </c>
      <c r="Y332" s="796" t="s">
        <v>399</v>
      </c>
      <c r="Z332" s="796" t="str">
        <f t="shared" si="94"/>
        <v>II</v>
      </c>
      <c r="AA332" s="796" t="s">
        <v>400</v>
      </c>
      <c r="AB332" s="796" t="str">
        <f t="shared" si="95"/>
        <v>III</v>
      </c>
      <c r="AC332" s="796" t="s">
        <v>401</v>
      </c>
      <c r="AD332" s="796" t="str">
        <f t="shared" si="96"/>
        <v>II</v>
      </c>
      <c r="AE332" s="796" t="s">
        <v>402</v>
      </c>
      <c r="AF332" s="796" t="str">
        <f t="shared" si="97"/>
        <v>I</v>
      </c>
      <c r="AG332" s="796"/>
      <c r="AH332" s="796"/>
      <c r="AI332" s="796"/>
      <c r="AJ332" s="796"/>
      <c r="AK332" s="796"/>
      <c r="AL332" s="796"/>
      <c r="AM332" s="796"/>
      <c r="AN332" s="796"/>
      <c r="AO332" s="796"/>
      <c r="AP332" s="796"/>
      <c r="AQ332" s="796"/>
      <c r="AR332" s="796"/>
      <c r="AS332" s="796"/>
      <c r="AT332" s="796"/>
      <c r="AU332" s="796"/>
      <c r="AV332" s="796"/>
      <c r="AW332" s="796"/>
      <c r="AX332" s="796"/>
      <c r="AY332" s="796"/>
      <c r="AZ332" s="796"/>
      <c r="BA332" s="796"/>
      <c r="BB332" s="796"/>
      <c r="BC332" s="796"/>
      <c r="BD332" s="796"/>
      <c r="BE332" s="796"/>
      <c r="BF332" s="796"/>
      <c r="BG332" s="796"/>
      <c r="BH332" s="796"/>
      <c r="BI332" s="796"/>
      <c r="BJ332" s="796"/>
      <c r="BK332" s="796"/>
      <c r="BL332" s="796"/>
    </row>
    <row r="333" spans="1:64" ht="15" customHeight="1">
      <c r="A333" s="796" t="s">
        <v>403</v>
      </c>
      <c r="B333" s="795" t="str">
        <f t="shared" si="85"/>
        <v>IV</v>
      </c>
      <c r="C333" s="796" t="s">
        <v>404</v>
      </c>
      <c r="D333" s="795" t="str">
        <f t="shared" si="86"/>
        <v>IV</v>
      </c>
      <c r="G333" s="796" t="s">
        <v>405</v>
      </c>
      <c r="H333" s="795" t="str">
        <f t="shared" si="87"/>
        <v>II</v>
      </c>
      <c r="M333" s="796" t="s">
        <v>406</v>
      </c>
      <c r="N333" s="796" t="str">
        <f t="shared" si="88"/>
        <v>III</v>
      </c>
      <c r="O333" s="796" t="s">
        <v>407</v>
      </c>
      <c r="P333" s="796" t="str">
        <f t="shared" si="89"/>
        <v>II</v>
      </c>
      <c r="Q333" s="796" t="s">
        <v>408</v>
      </c>
      <c r="R333" s="796" t="str">
        <f t="shared" si="90"/>
        <v>II</v>
      </c>
      <c r="S333" s="796" t="s">
        <v>409</v>
      </c>
      <c r="T333" s="796" t="str">
        <f t="shared" si="91"/>
        <v>I</v>
      </c>
      <c r="U333" s="796" t="s">
        <v>410</v>
      </c>
      <c r="V333" s="796" t="str">
        <f t="shared" si="92"/>
        <v>III</v>
      </c>
      <c r="W333" s="796" t="s">
        <v>411</v>
      </c>
      <c r="X333" s="796" t="str">
        <f t="shared" si="93"/>
        <v>IV</v>
      </c>
      <c r="Y333" s="796" t="s">
        <v>412</v>
      </c>
      <c r="Z333" s="796" t="str">
        <f t="shared" si="94"/>
        <v>III</v>
      </c>
      <c r="AA333" s="796" t="s">
        <v>413</v>
      </c>
      <c r="AB333" s="796" t="str">
        <f t="shared" si="95"/>
        <v>II</v>
      </c>
      <c r="AC333" s="796" t="s">
        <v>414</v>
      </c>
      <c r="AD333" s="796" t="str">
        <f t="shared" si="96"/>
        <v>II</v>
      </c>
      <c r="AE333" s="796" t="s">
        <v>415</v>
      </c>
      <c r="AF333" s="796" t="str">
        <f t="shared" si="97"/>
        <v>II</v>
      </c>
      <c r="AG333" s="796"/>
      <c r="AH333" s="796"/>
      <c r="AI333" s="796"/>
      <c r="AJ333" s="796"/>
      <c r="AK333" s="796"/>
      <c r="AL333" s="796"/>
      <c r="AM333" s="796"/>
      <c r="AN333" s="796"/>
      <c r="AO333" s="796"/>
      <c r="AP333" s="796"/>
      <c r="AQ333" s="796"/>
      <c r="AR333" s="796"/>
      <c r="AS333" s="796"/>
      <c r="AT333" s="796"/>
      <c r="AU333" s="796"/>
      <c r="AV333" s="796"/>
      <c r="AW333" s="796"/>
      <c r="AX333" s="796"/>
      <c r="AY333" s="796"/>
      <c r="AZ333" s="796"/>
      <c r="BA333" s="796"/>
      <c r="BB333" s="796"/>
      <c r="BC333" s="796"/>
      <c r="BD333" s="796"/>
      <c r="BE333" s="796"/>
      <c r="BF333" s="796"/>
      <c r="BG333" s="796"/>
      <c r="BH333" s="796"/>
      <c r="BI333" s="796"/>
      <c r="BJ333" s="796"/>
      <c r="BK333" s="796"/>
      <c r="BL333" s="796"/>
    </row>
    <row r="334" spans="1:64" ht="15" customHeight="1">
      <c r="A334" s="796" t="s">
        <v>416</v>
      </c>
      <c r="B334" s="795" t="str">
        <f t="shared" si="85"/>
        <v>III</v>
      </c>
      <c r="C334" s="796" t="s">
        <v>417</v>
      </c>
      <c r="D334" s="795" t="str">
        <f t="shared" si="86"/>
        <v>IV</v>
      </c>
      <c r="G334" s="796" t="s">
        <v>418</v>
      </c>
      <c r="H334" s="795" t="str">
        <f t="shared" si="87"/>
        <v>III</v>
      </c>
      <c r="M334" s="796" t="s">
        <v>419</v>
      </c>
      <c r="N334" s="796" t="str">
        <f t="shared" si="88"/>
        <v>VII</v>
      </c>
      <c r="O334" s="796" t="s">
        <v>420</v>
      </c>
      <c r="P334" s="796" t="str">
        <f t="shared" si="89"/>
        <v>I</v>
      </c>
      <c r="Q334" s="796" t="s">
        <v>421</v>
      </c>
      <c r="R334" s="796" t="str">
        <f t="shared" si="90"/>
        <v>II</v>
      </c>
      <c r="S334" s="796" t="s">
        <v>422</v>
      </c>
      <c r="T334" s="796" t="str">
        <f t="shared" si="91"/>
        <v>II</v>
      </c>
      <c r="U334" s="796" t="s">
        <v>423</v>
      </c>
      <c r="V334" s="796" t="str">
        <f t="shared" si="92"/>
        <v>II</v>
      </c>
      <c r="W334" s="796" t="s">
        <v>424</v>
      </c>
      <c r="X334" s="796" t="str">
        <f t="shared" si="93"/>
        <v>II</v>
      </c>
      <c r="Y334" s="796" t="s">
        <v>425</v>
      </c>
      <c r="Z334" s="796" t="str">
        <f t="shared" si="94"/>
        <v>I</v>
      </c>
      <c r="AA334" s="796" t="s">
        <v>426</v>
      </c>
      <c r="AB334" s="796" t="str">
        <f t="shared" si="95"/>
        <v>I</v>
      </c>
      <c r="AC334" s="796" t="s">
        <v>427</v>
      </c>
      <c r="AD334" s="796" t="str">
        <f t="shared" si="96"/>
        <v>IV</v>
      </c>
      <c r="AE334" s="796" t="s">
        <v>428</v>
      </c>
      <c r="AF334" s="796" t="str">
        <f t="shared" si="97"/>
        <v>I</v>
      </c>
      <c r="AG334" s="796"/>
      <c r="AH334" s="796"/>
      <c r="AI334" s="796"/>
      <c r="AJ334" s="796"/>
      <c r="AK334" s="796"/>
      <c r="AL334" s="796"/>
      <c r="AM334" s="796"/>
      <c r="AN334" s="796"/>
      <c r="AO334" s="796"/>
      <c r="AP334" s="796"/>
      <c r="AQ334" s="796"/>
      <c r="AR334" s="796"/>
      <c r="AS334" s="796"/>
      <c r="AT334" s="796"/>
      <c r="AU334" s="796"/>
      <c r="AV334" s="796"/>
      <c r="AW334" s="796"/>
      <c r="AX334" s="796"/>
      <c r="AY334" s="796"/>
      <c r="AZ334" s="796"/>
      <c r="BA334" s="796"/>
      <c r="BB334" s="796"/>
      <c r="BC334" s="796"/>
      <c r="BD334" s="796"/>
      <c r="BE334" s="796"/>
      <c r="BF334" s="796"/>
      <c r="BG334" s="796"/>
      <c r="BH334" s="796"/>
      <c r="BI334" s="796"/>
      <c r="BJ334" s="796"/>
      <c r="BK334" s="796"/>
      <c r="BL334" s="796"/>
    </row>
    <row r="335" spans="1:64" ht="15" customHeight="1">
      <c r="A335" s="796" t="s">
        <v>429</v>
      </c>
      <c r="B335" s="795" t="str">
        <f t="shared" si="85"/>
        <v>III</v>
      </c>
      <c r="C335" s="796" t="s">
        <v>430</v>
      </c>
      <c r="D335" s="795" t="str">
        <f t="shared" si="86"/>
        <v>III</v>
      </c>
      <c r="G335" s="796" t="s">
        <v>431</v>
      </c>
      <c r="H335" s="795" t="str">
        <f t="shared" si="87"/>
        <v>III</v>
      </c>
      <c r="M335" s="796" t="s">
        <v>432</v>
      </c>
      <c r="N335" s="796" t="str">
        <f t="shared" si="88"/>
        <v>I</v>
      </c>
      <c r="O335" s="796" t="s">
        <v>433</v>
      </c>
      <c r="P335" s="796" t="str">
        <f t="shared" si="89"/>
        <v>I</v>
      </c>
      <c r="Q335" s="796" t="s">
        <v>434</v>
      </c>
      <c r="R335" s="796" t="str">
        <f t="shared" si="90"/>
        <v>I</v>
      </c>
      <c r="S335" s="796" t="s">
        <v>435</v>
      </c>
      <c r="T335" s="796" t="str">
        <f t="shared" si="91"/>
        <v>II</v>
      </c>
      <c r="U335" s="796" t="s">
        <v>436</v>
      </c>
      <c r="V335" s="796" t="str">
        <f t="shared" si="92"/>
        <v>I</v>
      </c>
      <c r="W335" s="796" t="s">
        <v>437</v>
      </c>
      <c r="X335" s="796" t="str">
        <f t="shared" si="93"/>
        <v>II</v>
      </c>
      <c r="Y335" s="796" t="s">
        <v>438</v>
      </c>
      <c r="Z335" s="796" t="str">
        <f t="shared" si="94"/>
        <v>II</v>
      </c>
      <c r="AA335" s="796" t="s">
        <v>439</v>
      </c>
      <c r="AB335" s="796" t="str">
        <f t="shared" si="95"/>
        <v>II</v>
      </c>
      <c r="AC335" s="796" t="s">
        <v>440</v>
      </c>
      <c r="AD335" s="796" t="str">
        <f t="shared" si="96"/>
        <v>IV</v>
      </c>
      <c r="AE335" s="796" t="s">
        <v>441</v>
      </c>
      <c r="AF335" s="796" t="str">
        <f t="shared" si="97"/>
        <v>II</v>
      </c>
      <c r="AG335" s="796"/>
      <c r="AH335" s="796"/>
      <c r="AI335" s="796"/>
      <c r="AJ335" s="796"/>
      <c r="AK335" s="796"/>
      <c r="AL335" s="796"/>
      <c r="AM335" s="796"/>
      <c r="AN335" s="796"/>
      <c r="AO335" s="796"/>
      <c r="AP335" s="796"/>
      <c r="AQ335" s="796"/>
      <c r="AR335" s="796"/>
      <c r="AS335" s="796"/>
      <c r="AT335" s="796"/>
      <c r="AU335" s="796"/>
      <c r="AV335" s="796"/>
      <c r="AW335" s="796"/>
      <c r="AX335" s="796"/>
      <c r="AY335" s="796"/>
      <c r="AZ335" s="796"/>
      <c r="BA335" s="796"/>
      <c r="BB335" s="796"/>
      <c r="BC335" s="796"/>
      <c r="BD335" s="796"/>
      <c r="BE335" s="796"/>
      <c r="BF335" s="796"/>
      <c r="BG335" s="796"/>
      <c r="BH335" s="796"/>
      <c r="BI335" s="796"/>
      <c r="BJ335" s="796"/>
      <c r="BK335" s="796"/>
      <c r="BL335" s="796"/>
    </row>
    <row r="336" spans="1:64" ht="15" customHeight="1">
      <c r="A336" s="796" t="s">
        <v>442</v>
      </c>
      <c r="B336" s="795" t="str">
        <f t="shared" si="85"/>
        <v>V</v>
      </c>
      <c r="C336" s="796" t="s">
        <v>443</v>
      </c>
      <c r="D336" s="795" t="str">
        <f t="shared" si="86"/>
        <v>IV</v>
      </c>
      <c r="G336" s="796" t="s">
        <v>444</v>
      </c>
      <c r="H336" s="795" t="str">
        <f t="shared" si="87"/>
        <v>III</v>
      </c>
      <c r="M336" s="796" t="s">
        <v>445</v>
      </c>
      <c r="N336" s="796" t="str">
        <f t="shared" si="88"/>
        <v>V</v>
      </c>
      <c r="O336" s="796" t="s">
        <v>446</v>
      </c>
      <c r="P336" s="796" t="str">
        <f t="shared" si="89"/>
        <v>II</v>
      </c>
      <c r="Q336" s="796" t="s">
        <v>447</v>
      </c>
      <c r="R336" s="796" t="str">
        <f t="shared" si="90"/>
        <v>I</v>
      </c>
      <c r="S336" s="796" t="s">
        <v>448</v>
      </c>
      <c r="T336" s="796" t="str">
        <f t="shared" si="91"/>
        <v>II</v>
      </c>
      <c r="U336" s="796" t="s">
        <v>449</v>
      </c>
      <c r="V336" s="796" t="str">
        <f t="shared" si="92"/>
        <v>II</v>
      </c>
      <c r="W336" s="796" t="s">
        <v>450</v>
      </c>
      <c r="X336" s="796" t="str">
        <f t="shared" si="93"/>
        <v>II</v>
      </c>
      <c r="Y336" s="796" t="s">
        <v>451</v>
      </c>
      <c r="Z336" s="796" t="str">
        <f t="shared" si="94"/>
        <v>II</v>
      </c>
      <c r="AA336" s="796" t="s">
        <v>452</v>
      </c>
      <c r="AB336" s="796" t="str">
        <f t="shared" si="95"/>
        <v>I</v>
      </c>
      <c r="AC336" s="796" t="s">
        <v>453</v>
      </c>
      <c r="AD336" s="796" t="str">
        <f t="shared" si="96"/>
        <v>IV</v>
      </c>
      <c r="AE336" s="796" t="s">
        <v>454</v>
      </c>
      <c r="AF336" s="796" t="str">
        <f t="shared" si="97"/>
        <v>I</v>
      </c>
      <c r="AG336" s="796"/>
      <c r="AH336" s="796"/>
      <c r="AI336" s="796"/>
      <c r="AJ336" s="796"/>
      <c r="AK336" s="796"/>
      <c r="AL336" s="796"/>
      <c r="AM336" s="796"/>
      <c r="AN336" s="796"/>
      <c r="AO336" s="796"/>
      <c r="AP336" s="796"/>
      <c r="AQ336" s="796"/>
      <c r="AR336" s="796"/>
      <c r="AS336" s="796"/>
      <c r="AT336" s="796"/>
      <c r="AU336" s="796"/>
      <c r="AV336" s="796"/>
      <c r="AW336" s="796"/>
      <c r="AX336" s="796"/>
      <c r="AY336" s="796"/>
      <c r="AZ336" s="796"/>
      <c r="BA336" s="796"/>
      <c r="BB336" s="796"/>
      <c r="BC336" s="796"/>
      <c r="BD336" s="796"/>
      <c r="BE336" s="796"/>
      <c r="BF336" s="796"/>
      <c r="BG336" s="796"/>
      <c r="BH336" s="796"/>
      <c r="BI336" s="796"/>
      <c r="BJ336" s="796"/>
      <c r="BK336" s="796"/>
      <c r="BL336" s="796"/>
    </row>
    <row r="337" spans="1:64" ht="15" customHeight="1">
      <c r="A337" s="796" t="s">
        <v>455</v>
      </c>
      <c r="B337" s="795" t="str">
        <f t="shared" si="85"/>
        <v>III</v>
      </c>
      <c r="C337" s="796" t="s">
        <v>456</v>
      </c>
      <c r="D337" s="795" t="str">
        <f t="shared" si="86"/>
        <v>I</v>
      </c>
      <c r="G337" s="796" t="s">
        <v>457</v>
      </c>
      <c r="H337" s="795" t="str">
        <f t="shared" si="87"/>
        <v>IV</v>
      </c>
      <c r="M337" s="796" t="s">
        <v>458</v>
      </c>
      <c r="N337" s="796" t="str">
        <f t="shared" si="88"/>
        <v>I</v>
      </c>
      <c r="O337" s="796" t="s">
        <v>459</v>
      </c>
      <c r="P337" s="796" t="str">
        <f t="shared" si="89"/>
        <v>II</v>
      </c>
      <c r="Q337" s="796" t="s">
        <v>460</v>
      </c>
      <c r="R337" s="796" t="str">
        <f t="shared" si="90"/>
        <v>II</v>
      </c>
      <c r="S337" s="796" t="s">
        <v>461</v>
      </c>
      <c r="T337" s="796" t="str">
        <f t="shared" si="91"/>
        <v>I</v>
      </c>
      <c r="U337" s="796" t="s">
        <v>462</v>
      </c>
      <c r="V337" s="796" t="str">
        <f t="shared" si="92"/>
        <v>III</v>
      </c>
      <c r="W337" s="796" t="s">
        <v>463</v>
      </c>
      <c r="X337" s="796" t="str">
        <f t="shared" si="93"/>
        <v>I</v>
      </c>
      <c r="Y337" s="796" t="s">
        <v>464</v>
      </c>
      <c r="Z337" s="796" t="str">
        <f t="shared" si="94"/>
        <v>I</v>
      </c>
      <c r="AA337" s="796" t="s">
        <v>465</v>
      </c>
      <c r="AB337" s="796" t="str">
        <f t="shared" si="95"/>
        <v>II</v>
      </c>
      <c r="AC337" s="796" t="s">
        <v>466</v>
      </c>
      <c r="AD337" s="796" t="str">
        <f t="shared" si="96"/>
        <v>III</v>
      </c>
      <c r="AE337" s="796" t="s">
        <v>467</v>
      </c>
      <c r="AF337" s="796" t="str">
        <f t="shared" si="97"/>
        <v>II</v>
      </c>
      <c r="AG337" s="796"/>
      <c r="AH337" s="796"/>
      <c r="AI337" s="796"/>
      <c r="AJ337" s="796"/>
      <c r="AK337" s="796"/>
      <c r="AL337" s="796"/>
      <c r="AM337" s="796"/>
      <c r="AN337" s="796"/>
      <c r="AO337" s="796"/>
      <c r="AP337" s="796"/>
      <c r="AQ337" s="796"/>
      <c r="AR337" s="796"/>
      <c r="AS337" s="796"/>
      <c r="AT337" s="796"/>
      <c r="AU337" s="796"/>
      <c r="AV337" s="796"/>
      <c r="AW337" s="796"/>
      <c r="AX337" s="796"/>
      <c r="AY337" s="796"/>
      <c r="AZ337" s="796"/>
      <c r="BA337" s="796"/>
      <c r="BB337" s="796"/>
      <c r="BC337" s="796"/>
      <c r="BD337" s="796"/>
      <c r="BE337" s="796"/>
      <c r="BF337" s="796"/>
      <c r="BG337" s="796"/>
      <c r="BH337" s="796"/>
      <c r="BI337" s="796"/>
      <c r="BJ337" s="796"/>
      <c r="BK337" s="796"/>
      <c r="BL337" s="796"/>
    </row>
    <row r="338" spans="1:64" ht="15" customHeight="1">
      <c r="A338" s="796" t="s">
        <v>468</v>
      </c>
      <c r="B338" s="795" t="str">
        <f t="shared" si="85"/>
        <v>III</v>
      </c>
      <c r="C338" s="796" t="s">
        <v>469</v>
      </c>
      <c r="D338" s="795" t="str">
        <f t="shared" si="86"/>
        <v>I</v>
      </c>
      <c r="G338" s="796" t="s">
        <v>470</v>
      </c>
      <c r="H338" s="795" t="str">
        <f t="shared" si="87"/>
        <v>II</v>
      </c>
      <c r="M338" s="796" t="s">
        <v>471</v>
      </c>
      <c r="N338" s="796" t="str">
        <f t="shared" si="88"/>
        <v>II</v>
      </c>
      <c r="O338" s="796" t="s">
        <v>472</v>
      </c>
      <c r="P338" s="796" t="str">
        <f t="shared" si="89"/>
        <v>II</v>
      </c>
      <c r="Q338" s="796" t="s">
        <v>473</v>
      </c>
      <c r="R338" s="796" t="str">
        <f t="shared" si="90"/>
        <v>I</v>
      </c>
      <c r="S338" s="796" t="s">
        <v>474</v>
      </c>
      <c r="T338" s="796" t="str">
        <f t="shared" si="91"/>
        <v>I</v>
      </c>
      <c r="U338" s="796" t="s">
        <v>475</v>
      </c>
      <c r="V338" s="796" t="str">
        <f t="shared" si="92"/>
        <v>III</v>
      </c>
      <c r="W338" s="796" t="s">
        <v>476</v>
      </c>
      <c r="X338" s="796" t="str">
        <f t="shared" si="93"/>
        <v>I</v>
      </c>
      <c r="Y338" s="796" t="s">
        <v>477</v>
      </c>
      <c r="Z338" s="796" t="str">
        <f t="shared" si="94"/>
        <v>III</v>
      </c>
      <c r="AA338" s="796" t="s">
        <v>478</v>
      </c>
      <c r="AB338" s="796" t="str">
        <f t="shared" si="95"/>
        <v>II</v>
      </c>
      <c r="AC338" s="796" t="s">
        <v>479</v>
      </c>
      <c r="AD338" s="796" t="str">
        <f t="shared" si="96"/>
        <v>III</v>
      </c>
      <c r="AE338" s="796" t="s">
        <v>480</v>
      </c>
      <c r="AF338" s="796" t="str">
        <f t="shared" si="97"/>
        <v>IV</v>
      </c>
      <c r="AG338" s="796"/>
      <c r="AH338" s="796"/>
      <c r="AI338" s="796"/>
      <c r="AJ338" s="796"/>
      <c r="AK338" s="796"/>
      <c r="AL338" s="796"/>
      <c r="AM338" s="796"/>
      <c r="AN338" s="796"/>
      <c r="AO338" s="796"/>
      <c r="AP338" s="796"/>
      <c r="AQ338" s="796"/>
      <c r="AR338" s="796"/>
      <c r="AS338" s="796"/>
      <c r="AT338" s="796"/>
      <c r="AU338" s="796"/>
      <c r="AV338" s="796"/>
      <c r="AW338" s="796"/>
      <c r="AX338" s="796"/>
      <c r="AY338" s="796"/>
      <c r="AZ338" s="796"/>
      <c r="BA338" s="796"/>
      <c r="BB338" s="796"/>
      <c r="BC338" s="796"/>
      <c r="BD338" s="796"/>
      <c r="BE338" s="796"/>
      <c r="BF338" s="796"/>
      <c r="BG338" s="796"/>
      <c r="BH338" s="796"/>
      <c r="BI338" s="796"/>
      <c r="BJ338" s="796"/>
      <c r="BK338" s="796"/>
      <c r="BL338" s="796"/>
    </row>
    <row r="339" spans="1:64" ht="15" customHeight="1">
      <c r="A339" s="796" t="s">
        <v>481</v>
      </c>
      <c r="B339" s="795" t="str">
        <f t="shared" si="85"/>
        <v>IV</v>
      </c>
      <c r="C339" s="796" t="s">
        <v>482</v>
      </c>
      <c r="D339" s="795" t="str">
        <f t="shared" si="86"/>
        <v>IV</v>
      </c>
      <c r="G339" s="796" t="s">
        <v>483</v>
      </c>
      <c r="H339" s="795" t="str">
        <f t="shared" si="87"/>
        <v>I</v>
      </c>
      <c r="M339" s="796" t="s">
        <v>484</v>
      </c>
      <c r="N339" s="796" t="str">
        <f t="shared" si="88"/>
        <v>I</v>
      </c>
      <c r="O339" s="796" t="s">
        <v>485</v>
      </c>
      <c r="P339" s="796" t="str">
        <f t="shared" si="89"/>
        <v>II</v>
      </c>
      <c r="Q339" s="796" t="s">
        <v>486</v>
      </c>
      <c r="R339" s="796" t="str">
        <f t="shared" si="90"/>
        <v>II</v>
      </c>
      <c r="S339" s="796" t="s">
        <v>487</v>
      </c>
      <c r="T339" s="796" t="str">
        <f t="shared" si="91"/>
        <v>IV</v>
      </c>
      <c r="U339" s="796" t="s">
        <v>488</v>
      </c>
      <c r="V339" s="796" t="str">
        <f t="shared" si="92"/>
        <v>II</v>
      </c>
      <c r="W339" s="796" t="s">
        <v>489</v>
      </c>
      <c r="X339" s="796" t="str">
        <f t="shared" si="93"/>
        <v>I</v>
      </c>
      <c r="Y339" s="796" t="s">
        <v>490</v>
      </c>
      <c r="Z339" s="796" t="str">
        <f t="shared" si="94"/>
        <v>I</v>
      </c>
      <c r="AA339" s="796" t="s">
        <v>491</v>
      </c>
      <c r="AB339" s="796" t="str">
        <f t="shared" si="95"/>
        <v>II</v>
      </c>
      <c r="AC339" s="796" t="s">
        <v>492</v>
      </c>
      <c r="AD339" s="796" t="str">
        <f t="shared" si="96"/>
        <v>V</v>
      </c>
      <c r="AE339" s="796" t="s">
        <v>493</v>
      </c>
      <c r="AF339" s="796" t="str">
        <f t="shared" si="97"/>
        <v>I</v>
      </c>
      <c r="AG339" s="796"/>
      <c r="AH339" s="796"/>
      <c r="AI339" s="796"/>
      <c r="AJ339" s="796"/>
      <c r="AK339" s="796"/>
      <c r="AL339" s="796"/>
      <c r="AM339" s="796"/>
      <c r="AN339" s="796"/>
      <c r="AO339" s="796"/>
      <c r="AP339" s="796"/>
      <c r="AQ339" s="796"/>
      <c r="AR339" s="796"/>
      <c r="AS339" s="796"/>
      <c r="AT339" s="796"/>
      <c r="AU339" s="796"/>
      <c r="AV339" s="796"/>
      <c r="AW339" s="796"/>
      <c r="AX339" s="796"/>
      <c r="AY339" s="796"/>
      <c r="AZ339" s="796"/>
      <c r="BA339" s="796"/>
      <c r="BB339" s="796"/>
      <c r="BC339" s="796"/>
      <c r="BD339" s="796"/>
      <c r="BE339" s="796"/>
      <c r="BF339" s="796"/>
      <c r="BG339" s="796"/>
      <c r="BH339" s="796"/>
      <c r="BI339" s="796"/>
      <c r="BJ339" s="796"/>
      <c r="BK339" s="796"/>
      <c r="BL339" s="796"/>
    </row>
    <row r="340" spans="1:64" ht="15" customHeight="1">
      <c r="A340" s="796" t="s">
        <v>494</v>
      </c>
      <c r="B340" s="795" t="str">
        <f t="shared" si="85"/>
        <v>II</v>
      </c>
      <c r="C340" s="796" t="s">
        <v>495</v>
      </c>
      <c r="D340" s="795" t="str">
        <f t="shared" si="86"/>
        <v>I</v>
      </c>
      <c r="G340" s="796" t="s">
        <v>496</v>
      </c>
      <c r="H340" s="795" t="str">
        <f t="shared" si="87"/>
        <v>II</v>
      </c>
      <c r="M340" s="796" t="s">
        <v>497</v>
      </c>
      <c r="N340" s="796" t="str">
        <f t="shared" si="88"/>
        <v>III</v>
      </c>
      <c r="O340" s="796" t="s">
        <v>498</v>
      </c>
      <c r="P340" s="796" t="str">
        <f t="shared" si="89"/>
        <v>II</v>
      </c>
      <c r="Q340" s="796" t="s">
        <v>499</v>
      </c>
      <c r="R340" s="796" t="str">
        <f t="shared" si="90"/>
        <v>II</v>
      </c>
      <c r="S340" s="796" t="s">
        <v>500</v>
      </c>
      <c r="T340" s="796" t="str">
        <f t="shared" si="91"/>
        <v>I</v>
      </c>
      <c r="U340" s="796" t="s">
        <v>501</v>
      </c>
      <c r="V340" s="796" t="str">
        <f t="shared" si="92"/>
        <v>III</v>
      </c>
      <c r="W340" s="796" t="s">
        <v>502</v>
      </c>
      <c r="X340" s="796" t="str">
        <f t="shared" si="93"/>
        <v>I</v>
      </c>
      <c r="Y340" s="796" t="s">
        <v>503</v>
      </c>
      <c r="Z340" s="796" t="str">
        <f t="shared" si="94"/>
        <v>II</v>
      </c>
      <c r="AA340" s="796" t="s">
        <v>504</v>
      </c>
      <c r="AB340" s="796" t="str">
        <f t="shared" si="95"/>
        <v>III</v>
      </c>
      <c r="AC340" s="796" t="s">
        <v>505</v>
      </c>
      <c r="AD340" s="796" t="str">
        <f t="shared" si="96"/>
        <v>V</v>
      </c>
      <c r="AE340" s="796" t="s">
        <v>506</v>
      </c>
      <c r="AF340" s="796" t="str">
        <f t="shared" si="97"/>
        <v>I</v>
      </c>
      <c r="AG340" s="796"/>
      <c r="AH340" s="796"/>
      <c r="AI340" s="796"/>
      <c r="AJ340" s="796"/>
      <c r="AK340" s="796"/>
      <c r="AL340" s="796"/>
      <c r="AM340" s="796"/>
      <c r="AN340" s="796"/>
      <c r="AO340" s="796"/>
      <c r="AP340" s="796"/>
      <c r="AQ340" s="796"/>
      <c r="AR340" s="796"/>
      <c r="AS340" s="796"/>
      <c r="AT340" s="796"/>
      <c r="AU340" s="796"/>
      <c r="AV340" s="796"/>
      <c r="AW340" s="796"/>
      <c r="AX340" s="796"/>
      <c r="AY340" s="796"/>
      <c r="AZ340" s="796"/>
      <c r="BA340" s="796"/>
      <c r="BB340" s="796"/>
      <c r="BC340" s="796"/>
      <c r="BD340" s="796"/>
      <c r="BE340" s="796"/>
      <c r="BF340" s="796"/>
      <c r="BG340" s="796"/>
      <c r="BH340" s="796"/>
      <c r="BI340" s="796"/>
      <c r="BJ340" s="796"/>
      <c r="BK340" s="796"/>
      <c r="BL340" s="796"/>
    </row>
    <row r="341" spans="1:64" ht="15" customHeight="1">
      <c r="A341" s="796" t="s">
        <v>507</v>
      </c>
      <c r="B341" s="795" t="str">
        <f t="shared" si="85"/>
        <v>III</v>
      </c>
      <c r="C341" s="796" t="s">
        <v>508</v>
      </c>
      <c r="D341" s="795" t="str">
        <f t="shared" si="86"/>
        <v>V</v>
      </c>
      <c r="G341" s="796" t="s">
        <v>509</v>
      </c>
      <c r="H341" s="795" t="str">
        <f t="shared" si="87"/>
        <v>IV</v>
      </c>
      <c r="M341" s="796" t="s">
        <v>510</v>
      </c>
      <c r="N341" s="796" t="str">
        <f t="shared" si="88"/>
        <v>II</v>
      </c>
      <c r="O341" s="796" t="s">
        <v>511</v>
      </c>
      <c r="P341" s="796" t="str">
        <f t="shared" si="89"/>
        <v>II</v>
      </c>
      <c r="Q341" s="796" t="s">
        <v>512</v>
      </c>
      <c r="R341" s="796" t="str">
        <f t="shared" si="90"/>
        <v>II</v>
      </c>
      <c r="S341" s="796" t="s">
        <v>513</v>
      </c>
      <c r="T341" s="796" t="str">
        <f t="shared" si="91"/>
        <v>II</v>
      </c>
      <c r="U341" s="796" t="s">
        <v>514</v>
      </c>
      <c r="V341" s="796" t="str">
        <f t="shared" si="92"/>
        <v>III</v>
      </c>
      <c r="W341" s="796" t="s">
        <v>515</v>
      </c>
      <c r="X341" s="796" t="str">
        <f t="shared" si="93"/>
        <v>I</v>
      </c>
      <c r="Y341" s="796" t="s">
        <v>516</v>
      </c>
      <c r="Z341" s="796" t="str">
        <f t="shared" si="94"/>
        <v>II</v>
      </c>
      <c r="AA341" s="796" t="s">
        <v>517</v>
      </c>
      <c r="AB341" s="796" t="str">
        <f t="shared" si="95"/>
        <v>II</v>
      </c>
      <c r="AC341" s="796" t="s">
        <v>518</v>
      </c>
      <c r="AD341" s="796" t="str">
        <f t="shared" si="96"/>
        <v>III</v>
      </c>
      <c r="AE341" s="796" t="s">
        <v>519</v>
      </c>
      <c r="AF341" s="796" t="str">
        <f t="shared" si="97"/>
        <v>I</v>
      </c>
      <c r="AG341" s="796"/>
      <c r="AH341" s="796"/>
      <c r="AI341" s="796"/>
      <c r="AJ341" s="796"/>
      <c r="AK341" s="796"/>
      <c r="AL341" s="796"/>
      <c r="AM341" s="796"/>
      <c r="AN341" s="796"/>
      <c r="AO341" s="796"/>
      <c r="AP341" s="796"/>
      <c r="AQ341" s="796"/>
      <c r="AR341" s="796"/>
      <c r="AS341" s="796"/>
      <c r="AT341" s="796"/>
      <c r="AU341" s="796"/>
      <c r="AV341" s="796"/>
      <c r="AW341" s="796"/>
      <c r="AX341" s="796"/>
      <c r="AY341" s="796"/>
      <c r="AZ341" s="796"/>
      <c r="BA341" s="796"/>
      <c r="BB341" s="796"/>
      <c r="BC341" s="796"/>
      <c r="BD341" s="796"/>
      <c r="BE341" s="796"/>
      <c r="BF341" s="796"/>
      <c r="BG341" s="796"/>
      <c r="BH341" s="796"/>
      <c r="BI341" s="796"/>
      <c r="BJ341" s="796"/>
      <c r="BK341" s="796"/>
      <c r="BL341" s="796"/>
    </row>
    <row r="342" spans="1:64" ht="15" customHeight="1">
      <c r="A342" s="796" t="s">
        <v>520</v>
      </c>
      <c r="B342" s="795" t="str">
        <f t="shared" si="85"/>
        <v>III</v>
      </c>
      <c r="C342" s="796" t="s">
        <v>521</v>
      </c>
      <c r="D342" s="795" t="str">
        <f t="shared" si="86"/>
        <v>I</v>
      </c>
      <c r="G342" s="796" t="s">
        <v>522</v>
      </c>
      <c r="H342" s="795" t="str">
        <f t="shared" si="87"/>
        <v>II</v>
      </c>
      <c r="M342" s="796" t="s">
        <v>523</v>
      </c>
      <c r="N342" s="796" t="str">
        <f t="shared" si="88"/>
        <v>I</v>
      </c>
      <c r="O342" s="796" t="s">
        <v>524</v>
      </c>
      <c r="P342" s="796" t="str">
        <f t="shared" si="89"/>
        <v>II</v>
      </c>
      <c r="Q342" s="796" t="s">
        <v>525</v>
      </c>
      <c r="R342" s="796" t="str">
        <f t="shared" si="90"/>
        <v>I</v>
      </c>
      <c r="S342" s="796" t="s">
        <v>526</v>
      </c>
      <c r="T342" s="796" t="str">
        <f t="shared" si="91"/>
        <v>II</v>
      </c>
      <c r="U342" s="796" t="s">
        <v>527</v>
      </c>
      <c r="V342" s="796" t="str">
        <f t="shared" si="92"/>
        <v>III</v>
      </c>
      <c r="W342" s="796" t="s">
        <v>528</v>
      </c>
      <c r="X342" s="796" t="str">
        <f t="shared" si="93"/>
        <v>I</v>
      </c>
      <c r="Y342" s="796" t="s">
        <v>529</v>
      </c>
      <c r="Z342" s="796" t="str">
        <f t="shared" si="94"/>
        <v>I</v>
      </c>
      <c r="AA342" s="796" t="s">
        <v>530</v>
      </c>
      <c r="AB342" s="796" t="str">
        <f t="shared" si="95"/>
        <v>II</v>
      </c>
      <c r="AC342" s="796" t="s">
        <v>531</v>
      </c>
      <c r="AD342" s="796" t="str">
        <f t="shared" si="96"/>
        <v>VI</v>
      </c>
      <c r="AE342" s="796" t="s">
        <v>532</v>
      </c>
      <c r="AF342" s="796" t="str">
        <f t="shared" si="97"/>
        <v>I</v>
      </c>
      <c r="AG342" s="796"/>
      <c r="AH342" s="796"/>
      <c r="AI342" s="796"/>
      <c r="AJ342" s="796"/>
      <c r="AK342" s="796"/>
      <c r="AL342" s="796"/>
      <c r="AM342" s="796"/>
      <c r="AN342" s="796"/>
      <c r="AO342" s="796"/>
      <c r="AP342" s="796"/>
      <c r="AQ342" s="796"/>
      <c r="AR342" s="796"/>
      <c r="AS342" s="796"/>
      <c r="AT342" s="796"/>
      <c r="AU342" s="796"/>
      <c r="AV342" s="796"/>
      <c r="AW342" s="796"/>
      <c r="AX342" s="796"/>
      <c r="AY342" s="796"/>
      <c r="AZ342" s="796"/>
      <c r="BA342" s="796"/>
      <c r="BB342" s="796"/>
      <c r="BC342" s="796"/>
      <c r="BD342" s="796"/>
      <c r="BE342" s="796"/>
      <c r="BF342" s="796"/>
      <c r="BG342" s="796"/>
      <c r="BH342" s="796"/>
      <c r="BI342" s="796"/>
      <c r="BJ342" s="796"/>
      <c r="BK342" s="796"/>
      <c r="BL342" s="796"/>
    </row>
    <row r="343" spans="1:64" ht="15" customHeight="1">
      <c r="A343" s="796" t="s">
        <v>533</v>
      </c>
      <c r="B343" s="795" t="str">
        <f t="shared" si="85"/>
        <v>III</v>
      </c>
      <c r="C343" s="796" t="s">
        <v>534</v>
      </c>
      <c r="D343" s="795" t="str">
        <f t="shared" si="86"/>
        <v>II</v>
      </c>
      <c r="G343" s="796" t="s">
        <v>535</v>
      </c>
      <c r="H343" s="795" t="str">
        <f t="shared" si="87"/>
        <v>V</v>
      </c>
      <c r="M343" s="796" t="s">
        <v>536</v>
      </c>
      <c r="N343" s="796">
        <f t="shared" si="88"/>
        <v>0</v>
      </c>
      <c r="O343" s="796" t="s">
        <v>537</v>
      </c>
      <c r="P343" s="796" t="str">
        <f t="shared" si="89"/>
        <v>I</v>
      </c>
      <c r="Q343" s="796" t="s">
        <v>538</v>
      </c>
      <c r="R343" s="796" t="str">
        <f t="shared" si="90"/>
        <v>I</v>
      </c>
      <c r="S343" s="796" t="s">
        <v>539</v>
      </c>
      <c r="T343" s="796" t="str">
        <f t="shared" si="91"/>
        <v>II</v>
      </c>
      <c r="U343" s="796" t="s">
        <v>540</v>
      </c>
      <c r="V343" s="796" t="str">
        <f t="shared" si="92"/>
        <v>I</v>
      </c>
      <c r="W343" s="796" t="s">
        <v>541</v>
      </c>
      <c r="X343" s="796" t="str">
        <f t="shared" si="93"/>
        <v>I</v>
      </c>
      <c r="Y343" s="796" t="s">
        <v>542</v>
      </c>
      <c r="Z343" s="796" t="str">
        <f t="shared" si="94"/>
        <v>II</v>
      </c>
      <c r="AA343" s="796" t="s">
        <v>543</v>
      </c>
      <c r="AB343" s="796" t="str">
        <f t="shared" si="95"/>
        <v>II</v>
      </c>
      <c r="AC343" s="796" t="s">
        <v>544</v>
      </c>
      <c r="AD343" s="796" t="str">
        <f t="shared" si="96"/>
        <v>I</v>
      </c>
      <c r="AE343" s="796" t="s">
        <v>545</v>
      </c>
      <c r="AF343" s="796" t="str">
        <f t="shared" si="97"/>
        <v>I</v>
      </c>
      <c r="AG343" s="796"/>
      <c r="AH343" s="796"/>
      <c r="AI343" s="796"/>
      <c r="AJ343" s="796"/>
      <c r="AK343" s="796"/>
      <c r="AL343" s="796"/>
      <c r="AM343" s="796"/>
      <c r="AN343" s="796"/>
      <c r="AO343" s="796"/>
      <c r="AP343" s="796"/>
      <c r="AQ343" s="796"/>
      <c r="AR343" s="796"/>
      <c r="AS343" s="796"/>
      <c r="AT343" s="796"/>
      <c r="AU343" s="796"/>
      <c r="AV343" s="796"/>
      <c r="AW343" s="796"/>
      <c r="AX343" s="796"/>
      <c r="AY343" s="796"/>
      <c r="AZ343" s="796"/>
      <c r="BA343" s="796"/>
      <c r="BB343" s="796"/>
      <c r="BC343" s="796"/>
      <c r="BD343" s="796"/>
      <c r="BE343" s="796"/>
      <c r="BF343" s="796"/>
      <c r="BG343" s="796"/>
      <c r="BH343" s="796"/>
      <c r="BI343" s="796"/>
      <c r="BJ343" s="796"/>
      <c r="BK343" s="796"/>
      <c r="BL343" s="796"/>
    </row>
    <row r="344" spans="1:64" ht="15" customHeight="1">
      <c r="A344" s="796" t="s">
        <v>546</v>
      </c>
      <c r="B344" s="795" t="str">
        <f t="shared" si="85"/>
        <v>I</v>
      </c>
      <c r="C344" s="796" t="s">
        <v>547</v>
      </c>
      <c r="D344" s="795" t="str">
        <f t="shared" si="86"/>
        <v>III</v>
      </c>
      <c r="G344" s="796" t="s">
        <v>548</v>
      </c>
      <c r="H344" s="795" t="str">
        <f t="shared" si="87"/>
        <v>II</v>
      </c>
      <c r="M344" s="796" t="s">
        <v>549</v>
      </c>
      <c r="N344" s="796" t="str">
        <f t="shared" si="88"/>
        <v>IV</v>
      </c>
      <c r="O344" s="796" t="s">
        <v>550</v>
      </c>
      <c r="P344" s="796" t="str">
        <f t="shared" si="89"/>
        <v>II</v>
      </c>
      <c r="Q344" s="796" t="s">
        <v>551</v>
      </c>
      <c r="R344" s="796" t="str">
        <f t="shared" si="90"/>
        <v>I</v>
      </c>
      <c r="S344" s="796" t="s">
        <v>552</v>
      </c>
      <c r="T344" s="796" t="str">
        <f t="shared" si="91"/>
        <v>II</v>
      </c>
      <c r="U344" s="796" t="s">
        <v>553</v>
      </c>
      <c r="V344" s="796" t="str">
        <f t="shared" si="92"/>
        <v>IV</v>
      </c>
      <c r="W344" s="796" t="s">
        <v>554</v>
      </c>
      <c r="X344" s="796" t="str">
        <f t="shared" si="93"/>
        <v>I</v>
      </c>
      <c r="Y344" s="796" t="s">
        <v>555</v>
      </c>
      <c r="Z344" s="796" t="str">
        <f t="shared" si="94"/>
        <v>II</v>
      </c>
      <c r="AA344" s="796" t="s">
        <v>556</v>
      </c>
      <c r="AB344" s="796">
        <f t="shared" si="95"/>
        <v>0</v>
      </c>
      <c r="AC344" s="796" t="s">
        <v>557</v>
      </c>
      <c r="AD344" s="796" t="str">
        <f t="shared" si="96"/>
        <v>III</v>
      </c>
      <c r="AE344" s="796" t="s">
        <v>558</v>
      </c>
      <c r="AF344" s="796" t="str">
        <f t="shared" si="97"/>
        <v>I</v>
      </c>
      <c r="AG344" s="796"/>
      <c r="AH344" s="796"/>
      <c r="AI344" s="796"/>
      <c r="AJ344" s="796"/>
      <c r="AK344" s="796"/>
      <c r="AL344" s="796"/>
      <c r="AM344" s="796"/>
      <c r="AN344" s="796"/>
      <c r="AO344" s="796"/>
      <c r="AP344" s="796"/>
      <c r="AQ344" s="796"/>
      <c r="AR344" s="796"/>
      <c r="AS344" s="796"/>
      <c r="AT344" s="796"/>
      <c r="AU344" s="796"/>
      <c r="AV344" s="796"/>
      <c r="AW344" s="796"/>
      <c r="AX344" s="796"/>
      <c r="AY344" s="796"/>
      <c r="AZ344" s="796"/>
      <c r="BA344" s="796"/>
      <c r="BB344" s="796"/>
      <c r="BC344" s="796"/>
      <c r="BD344" s="796"/>
      <c r="BE344" s="796"/>
      <c r="BF344" s="796"/>
      <c r="BG344" s="796"/>
      <c r="BH344" s="796"/>
      <c r="BI344" s="796"/>
      <c r="BJ344" s="796"/>
      <c r="BK344" s="796"/>
      <c r="BL344" s="796"/>
    </row>
    <row r="345" spans="1:64" ht="15" customHeight="1">
      <c r="A345" s="796" t="s">
        <v>559</v>
      </c>
      <c r="B345" s="795" t="str">
        <f t="shared" si="85"/>
        <v>IV</v>
      </c>
      <c r="C345" s="796" t="s">
        <v>560</v>
      </c>
      <c r="D345" s="795" t="str">
        <f t="shared" si="86"/>
        <v>III</v>
      </c>
      <c r="G345" s="796" t="s">
        <v>561</v>
      </c>
      <c r="H345" s="795" t="str">
        <f t="shared" si="87"/>
        <v>III</v>
      </c>
      <c r="M345" s="796" t="s">
        <v>562</v>
      </c>
      <c r="N345" s="796" t="str">
        <f t="shared" si="88"/>
        <v>I</v>
      </c>
      <c r="O345" s="796" t="s">
        <v>563</v>
      </c>
      <c r="P345" s="796" t="str">
        <f t="shared" si="89"/>
        <v>IV</v>
      </c>
      <c r="Q345" s="796" t="s">
        <v>564</v>
      </c>
      <c r="R345" s="796" t="str">
        <f t="shared" si="90"/>
        <v>I</v>
      </c>
      <c r="S345" s="796" t="s">
        <v>565</v>
      </c>
      <c r="T345" s="796" t="str">
        <f t="shared" si="91"/>
        <v>II</v>
      </c>
      <c r="U345" s="796" t="s">
        <v>566</v>
      </c>
      <c r="V345" s="796" t="str">
        <f t="shared" si="92"/>
        <v>II</v>
      </c>
      <c r="W345" s="796" t="s">
        <v>567</v>
      </c>
      <c r="X345" s="796">
        <f t="shared" si="93"/>
        <v>0</v>
      </c>
      <c r="Y345" s="796" t="s">
        <v>568</v>
      </c>
      <c r="Z345" s="796" t="str">
        <f t="shared" si="94"/>
        <v>II</v>
      </c>
      <c r="AA345" s="796" t="s">
        <v>569</v>
      </c>
      <c r="AB345" s="796" t="str">
        <f t="shared" si="95"/>
        <v>I</v>
      </c>
      <c r="AC345" s="796" t="s">
        <v>570</v>
      </c>
      <c r="AD345" s="796" t="str">
        <f t="shared" si="96"/>
        <v>III</v>
      </c>
      <c r="AE345" s="796" t="s">
        <v>571</v>
      </c>
      <c r="AF345" s="796" t="str">
        <f t="shared" si="97"/>
        <v>I</v>
      </c>
      <c r="AG345" s="796"/>
      <c r="AH345" s="796"/>
      <c r="AI345" s="796"/>
      <c r="AJ345" s="796"/>
      <c r="AK345" s="796"/>
      <c r="AL345" s="796"/>
      <c r="AM345" s="796"/>
      <c r="AN345" s="796"/>
      <c r="AO345" s="796"/>
      <c r="AP345" s="796"/>
      <c r="AQ345" s="796"/>
      <c r="AR345" s="796"/>
      <c r="AS345" s="796"/>
      <c r="AT345" s="796"/>
      <c r="AU345" s="796"/>
      <c r="AV345" s="796"/>
      <c r="AW345" s="796"/>
      <c r="AX345" s="796"/>
      <c r="AY345" s="796"/>
      <c r="AZ345" s="796"/>
      <c r="BA345" s="796"/>
      <c r="BB345" s="796"/>
      <c r="BC345" s="796"/>
      <c r="BD345" s="796"/>
      <c r="BE345" s="796"/>
      <c r="BF345" s="796"/>
      <c r="BG345" s="796"/>
      <c r="BH345" s="796"/>
      <c r="BI345" s="796"/>
      <c r="BJ345" s="796"/>
      <c r="BK345" s="796"/>
      <c r="BL345" s="796"/>
    </row>
    <row r="346" spans="1:64" ht="15" customHeight="1">
      <c r="A346" s="796" t="s">
        <v>572</v>
      </c>
      <c r="B346" s="795" t="str">
        <f t="shared" si="85"/>
        <v>I</v>
      </c>
      <c r="C346" s="796" t="s">
        <v>573</v>
      </c>
      <c r="D346" s="795" t="str">
        <f t="shared" si="86"/>
        <v>IV</v>
      </c>
      <c r="G346" s="796" t="s">
        <v>574</v>
      </c>
      <c r="H346" s="795" t="str">
        <f t="shared" si="87"/>
        <v>IV</v>
      </c>
      <c r="M346" s="796" t="s">
        <v>575</v>
      </c>
      <c r="N346" s="796" t="str">
        <f t="shared" si="88"/>
        <v>II</v>
      </c>
      <c r="O346" s="796" t="s">
        <v>576</v>
      </c>
      <c r="P346" s="796" t="str">
        <f t="shared" si="89"/>
        <v>III</v>
      </c>
      <c r="Q346" s="796" t="s">
        <v>577</v>
      </c>
      <c r="R346" s="796" t="str">
        <f t="shared" si="90"/>
        <v>I</v>
      </c>
      <c r="S346" s="796" t="s">
        <v>578</v>
      </c>
      <c r="T346" s="796" t="str">
        <f t="shared" si="91"/>
        <v>I</v>
      </c>
      <c r="U346" s="796" t="s">
        <v>579</v>
      </c>
      <c r="V346" s="796" t="str">
        <f t="shared" si="92"/>
        <v>III</v>
      </c>
      <c r="W346" s="796" t="s">
        <v>580</v>
      </c>
      <c r="X346" s="796" t="str">
        <f t="shared" si="93"/>
        <v>II</v>
      </c>
      <c r="Y346" s="796" t="s">
        <v>581</v>
      </c>
      <c r="Z346" s="796" t="str">
        <f t="shared" si="94"/>
        <v>II</v>
      </c>
      <c r="AA346" s="796" t="s">
        <v>582</v>
      </c>
      <c r="AB346" s="796" t="str">
        <f t="shared" si="95"/>
        <v>III</v>
      </c>
      <c r="AC346" s="796" t="s">
        <v>583</v>
      </c>
      <c r="AD346" s="796" t="str">
        <f t="shared" si="96"/>
        <v>V</v>
      </c>
      <c r="AE346" s="796" t="s">
        <v>584</v>
      </c>
      <c r="AF346" s="796" t="str">
        <f t="shared" si="97"/>
        <v>I</v>
      </c>
      <c r="AG346" s="796"/>
      <c r="AH346" s="796"/>
      <c r="AI346" s="796"/>
      <c r="AJ346" s="796"/>
      <c r="AK346" s="796"/>
      <c r="AL346" s="796"/>
      <c r="AM346" s="796"/>
      <c r="AN346" s="796"/>
      <c r="AO346" s="796"/>
      <c r="AP346" s="796"/>
      <c r="AQ346" s="796"/>
      <c r="AR346" s="796"/>
      <c r="AS346" s="796"/>
      <c r="AT346" s="796"/>
      <c r="AU346" s="796"/>
      <c r="AV346" s="796"/>
      <c r="AW346" s="796"/>
      <c r="AX346" s="796"/>
      <c r="AY346" s="796"/>
      <c r="AZ346" s="796"/>
      <c r="BA346" s="796"/>
      <c r="BB346" s="796"/>
      <c r="BC346" s="796"/>
      <c r="BD346" s="796"/>
      <c r="BE346" s="796"/>
      <c r="BF346" s="796"/>
      <c r="BG346" s="796"/>
      <c r="BH346" s="796"/>
      <c r="BI346" s="796"/>
      <c r="BJ346" s="796"/>
      <c r="BK346" s="796"/>
      <c r="BL346" s="796"/>
    </row>
    <row r="347" spans="1:64" ht="15" customHeight="1">
      <c r="A347" s="796" t="s">
        <v>585</v>
      </c>
      <c r="B347" s="795" t="str">
        <f t="shared" si="85"/>
        <v>III</v>
      </c>
      <c r="C347" s="796" t="s">
        <v>586</v>
      </c>
      <c r="D347" s="795" t="str">
        <f t="shared" si="86"/>
        <v>I</v>
      </c>
      <c r="G347" s="796" t="s">
        <v>587</v>
      </c>
      <c r="H347" s="795" t="str">
        <f t="shared" si="87"/>
        <v>V</v>
      </c>
      <c r="M347" s="796" t="s">
        <v>588</v>
      </c>
      <c r="N347" s="796" t="str">
        <f t="shared" si="88"/>
        <v>III</v>
      </c>
      <c r="O347" s="796" t="s">
        <v>589</v>
      </c>
      <c r="P347" s="796" t="str">
        <f t="shared" si="89"/>
        <v>III</v>
      </c>
      <c r="Q347" s="796" t="s">
        <v>590</v>
      </c>
      <c r="R347" s="796" t="str">
        <f t="shared" si="90"/>
        <v>I</v>
      </c>
      <c r="S347" s="796" t="s">
        <v>591</v>
      </c>
      <c r="T347" s="796" t="str">
        <f t="shared" si="91"/>
        <v>II</v>
      </c>
      <c r="U347" s="796" t="s">
        <v>592</v>
      </c>
      <c r="V347" s="796" t="str">
        <f t="shared" si="92"/>
        <v>II</v>
      </c>
      <c r="W347" s="796" t="s">
        <v>593</v>
      </c>
      <c r="X347" s="796" t="str">
        <f t="shared" si="93"/>
        <v>I</v>
      </c>
      <c r="Y347" s="796" t="s">
        <v>594</v>
      </c>
      <c r="Z347" s="796" t="str">
        <f t="shared" si="94"/>
        <v>I</v>
      </c>
      <c r="AA347" s="796" t="s">
        <v>595</v>
      </c>
      <c r="AB347" s="796" t="str">
        <f t="shared" si="95"/>
        <v>I</v>
      </c>
      <c r="AC347" s="796" t="s">
        <v>596</v>
      </c>
      <c r="AD347" s="796" t="str">
        <f t="shared" si="96"/>
        <v>III</v>
      </c>
      <c r="AE347" s="796" t="s">
        <v>597</v>
      </c>
      <c r="AF347" s="796" t="str">
        <f t="shared" si="97"/>
        <v>II</v>
      </c>
      <c r="AG347" s="796"/>
      <c r="AH347" s="796"/>
      <c r="AI347" s="796"/>
      <c r="AJ347" s="796"/>
      <c r="AK347" s="796"/>
      <c r="AL347" s="796"/>
      <c r="AM347" s="796"/>
      <c r="AN347" s="796"/>
      <c r="AO347" s="796"/>
      <c r="AP347" s="796"/>
      <c r="AQ347" s="796"/>
      <c r="AR347" s="796"/>
      <c r="AS347" s="796"/>
      <c r="AT347" s="796"/>
      <c r="AU347" s="796"/>
      <c r="AV347" s="796"/>
      <c r="AW347" s="796"/>
      <c r="AX347" s="796"/>
      <c r="AY347" s="796"/>
      <c r="AZ347" s="796"/>
      <c r="BA347" s="796"/>
      <c r="BB347" s="796"/>
      <c r="BC347" s="796"/>
      <c r="BD347" s="796"/>
      <c r="BE347" s="796"/>
      <c r="BF347" s="796"/>
      <c r="BG347" s="796"/>
      <c r="BH347" s="796"/>
      <c r="BI347" s="796"/>
      <c r="BJ347" s="796"/>
      <c r="BK347" s="796"/>
      <c r="BL347" s="796"/>
    </row>
    <row r="348" spans="1:64" ht="15" customHeight="1">
      <c r="A348" s="796" t="s">
        <v>598</v>
      </c>
      <c r="B348" s="795" t="str">
        <f t="shared" si="85"/>
        <v>IV</v>
      </c>
      <c r="C348" s="796" t="s">
        <v>599</v>
      </c>
      <c r="D348" s="795" t="str">
        <f t="shared" si="86"/>
        <v>IV</v>
      </c>
      <c r="G348" s="796" t="s">
        <v>600</v>
      </c>
      <c r="H348" s="795" t="str">
        <f t="shared" si="87"/>
        <v>I</v>
      </c>
      <c r="M348" s="796" t="s">
        <v>601</v>
      </c>
      <c r="N348" s="796" t="str">
        <f t="shared" si="88"/>
        <v>I</v>
      </c>
      <c r="O348" s="796" t="s">
        <v>602</v>
      </c>
      <c r="P348" s="796" t="str">
        <f t="shared" si="89"/>
        <v>III</v>
      </c>
      <c r="Q348" s="796" t="s">
        <v>603</v>
      </c>
      <c r="R348" s="796" t="str">
        <f t="shared" si="90"/>
        <v>I</v>
      </c>
      <c r="S348" s="796" t="s">
        <v>604</v>
      </c>
      <c r="T348" s="796" t="str">
        <f t="shared" si="91"/>
        <v>I</v>
      </c>
      <c r="U348" s="796" t="s">
        <v>605</v>
      </c>
      <c r="V348" s="796" t="str">
        <f t="shared" si="92"/>
        <v>I</v>
      </c>
      <c r="W348" s="796" t="s">
        <v>606</v>
      </c>
      <c r="X348" s="796" t="str">
        <f t="shared" si="93"/>
        <v>II</v>
      </c>
      <c r="Y348" s="796" t="s">
        <v>607</v>
      </c>
      <c r="Z348" s="796" t="str">
        <f t="shared" si="94"/>
        <v>II</v>
      </c>
      <c r="AA348" s="796" t="s">
        <v>608</v>
      </c>
      <c r="AB348" s="796" t="str">
        <f t="shared" si="95"/>
        <v>II</v>
      </c>
      <c r="AC348" s="796" t="s">
        <v>609</v>
      </c>
      <c r="AD348" s="796" t="str">
        <f t="shared" si="96"/>
        <v>III</v>
      </c>
      <c r="AE348" s="796" t="s">
        <v>610</v>
      </c>
      <c r="AF348" s="796" t="str">
        <f t="shared" si="97"/>
        <v>I</v>
      </c>
      <c r="AG348" s="796"/>
      <c r="AH348" s="796"/>
      <c r="AI348" s="796"/>
      <c r="AJ348" s="796"/>
      <c r="AK348" s="796"/>
      <c r="AL348" s="796"/>
      <c r="AM348" s="796"/>
      <c r="AN348" s="796"/>
      <c r="AO348" s="796"/>
      <c r="AP348" s="796"/>
      <c r="AQ348" s="796"/>
      <c r="AR348" s="796"/>
      <c r="AS348" s="796"/>
      <c r="AT348" s="796"/>
      <c r="AU348" s="796"/>
      <c r="AV348" s="796"/>
      <c r="AW348" s="796"/>
      <c r="AX348" s="796"/>
      <c r="AY348" s="796"/>
      <c r="AZ348" s="796"/>
      <c r="BA348" s="796"/>
      <c r="BB348" s="796"/>
      <c r="BC348" s="796"/>
      <c r="BD348" s="796"/>
      <c r="BE348" s="796"/>
      <c r="BF348" s="796"/>
      <c r="BG348" s="796"/>
      <c r="BH348" s="796"/>
      <c r="BI348" s="796"/>
      <c r="BJ348" s="796"/>
      <c r="BK348" s="796"/>
      <c r="BL348" s="796"/>
    </row>
    <row r="349" spans="1:64" ht="15" customHeight="1">
      <c r="A349" s="796" t="s">
        <v>611</v>
      </c>
      <c r="B349" s="795" t="str">
        <f t="shared" si="85"/>
        <v>III</v>
      </c>
      <c r="C349" s="796" t="s">
        <v>612</v>
      </c>
      <c r="D349" s="795" t="str">
        <f t="shared" si="86"/>
        <v>II</v>
      </c>
      <c r="G349" s="796" t="s">
        <v>613</v>
      </c>
      <c r="H349" s="795" t="str">
        <f t="shared" si="87"/>
        <v>IV</v>
      </c>
      <c r="M349" s="796" t="s">
        <v>614</v>
      </c>
      <c r="N349" s="796" t="str">
        <f t="shared" si="88"/>
        <v>II</v>
      </c>
      <c r="O349" s="796" t="s">
        <v>615</v>
      </c>
      <c r="P349" s="796" t="str">
        <f t="shared" si="89"/>
        <v>III</v>
      </c>
      <c r="Q349" s="796" t="s">
        <v>616</v>
      </c>
      <c r="R349" s="796" t="str">
        <f t="shared" si="90"/>
        <v>II</v>
      </c>
      <c r="S349" s="796" t="s">
        <v>617</v>
      </c>
      <c r="T349" s="796" t="str">
        <f t="shared" si="91"/>
        <v>II</v>
      </c>
      <c r="U349" s="796" t="s">
        <v>618</v>
      </c>
      <c r="V349" s="796" t="str">
        <f t="shared" si="92"/>
        <v>I</v>
      </c>
      <c r="W349" s="796" t="s">
        <v>619</v>
      </c>
      <c r="X349" s="796">
        <f t="shared" si="93"/>
        <v>0</v>
      </c>
      <c r="Y349" s="796" t="s">
        <v>620</v>
      </c>
      <c r="Z349" s="796" t="str">
        <f t="shared" si="94"/>
        <v>I</v>
      </c>
      <c r="AA349" s="796" t="s">
        <v>621</v>
      </c>
      <c r="AB349" s="796" t="str">
        <f t="shared" si="95"/>
        <v>I</v>
      </c>
      <c r="AC349" s="796" t="s">
        <v>622</v>
      </c>
      <c r="AD349" s="796" t="str">
        <f t="shared" si="96"/>
        <v>IV</v>
      </c>
      <c r="AE349" s="796" t="s">
        <v>623</v>
      </c>
      <c r="AF349" s="796" t="str">
        <f t="shared" si="97"/>
        <v>II</v>
      </c>
      <c r="AG349" s="796"/>
      <c r="AH349" s="796"/>
      <c r="AI349" s="796"/>
      <c r="AJ349" s="796"/>
      <c r="AK349" s="796"/>
      <c r="AL349" s="796"/>
      <c r="AM349" s="796"/>
      <c r="AN349" s="796"/>
      <c r="AO349" s="796"/>
      <c r="AP349" s="796"/>
      <c r="AQ349" s="796"/>
      <c r="AR349" s="796"/>
      <c r="AS349" s="796"/>
      <c r="AT349" s="796"/>
      <c r="AU349" s="796"/>
      <c r="AV349" s="796"/>
      <c r="AW349" s="796"/>
      <c r="AX349" s="796"/>
      <c r="AY349" s="796"/>
      <c r="AZ349" s="796"/>
      <c r="BA349" s="796"/>
      <c r="BB349" s="796"/>
      <c r="BC349" s="796"/>
      <c r="BD349" s="796"/>
      <c r="BE349" s="796"/>
      <c r="BF349" s="796"/>
      <c r="BG349" s="796"/>
      <c r="BH349" s="796"/>
      <c r="BI349" s="796"/>
      <c r="BJ349" s="796"/>
      <c r="BK349" s="796"/>
      <c r="BL349" s="796"/>
    </row>
    <row r="350" spans="1:64" ht="15" customHeight="1">
      <c r="A350" s="796" t="s">
        <v>624</v>
      </c>
      <c r="B350" s="795" t="str">
        <f t="shared" si="85"/>
        <v>V</v>
      </c>
      <c r="C350" s="796" t="s">
        <v>625</v>
      </c>
      <c r="D350" s="795" t="str">
        <f t="shared" si="86"/>
        <v>III</v>
      </c>
      <c r="G350" s="796" t="s">
        <v>626</v>
      </c>
      <c r="H350" s="795" t="str">
        <f t="shared" si="87"/>
        <v>II</v>
      </c>
      <c r="M350" s="796" t="s">
        <v>627</v>
      </c>
      <c r="N350" s="796" t="str">
        <f t="shared" si="88"/>
        <v>II</v>
      </c>
      <c r="O350" s="796" t="s">
        <v>628</v>
      </c>
      <c r="P350" s="796" t="str">
        <f t="shared" si="89"/>
        <v>III</v>
      </c>
      <c r="Q350" s="796" t="s">
        <v>629</v>
      </c>
      <c r="R350" s="796" t="str">
        <f t="shared" si="90"/>
        <v>II</v>
      </c>
      <c r="S350" s="796" t="s">
        <v>630</v>
      </c>
      <c r="T350" s="796" t="str">
        <f t="shared" si="91"/>
        <v>III</v>
      </c>
      <c r="U350" s="796" t="s">
        <v>631</v>
      </c>
      <c r="V350" s="796" t="str">
        <f t="shared" si="92"/>
        <v>II</v>
      </c>
      <c r="W350" s="796" t="s">
        <v>632</v>
      </c>
      <c r="X350" s="796" t="str">
        <f t="shared" si="93"/>
        <v>I</v>
      </c>
      <c r="Y350" s="796" t="s">
        <v>633</v>
      </c>
      <c r="Z350" s="796" t="str">
        <f t="shared" si="94"/>
        <v>II</v>
      </c>
      <c r="AA350" s="796" t="s">
        <v>634</v>
      </c>
      <c r="AB350" s="796" t="str">
        <f t="shared" si="95"/>
        <v>I</v>
      </c>
      <c r="AC350" s="796" t="s">
        <v>635</v>
      </c>
      <c r="AD350" s="796" t="str">
        <f t="shared" si="96"/>
        <v>V</v>
      </c>
      <c r="AE350" s="796" t="s">
        <v>636</v>
      </c>
      <c r="AF350" s="796" t="str">
        <f t="shared" si="97"/>
        <v>I</v>
      </c>
      <c r="AG350" s="796"/>
      <c r="AH350" s="796"/>
      <c r="AI350" s="796"/>
      <c r="AJ350" s="796"/>
      <c r="AK350" s="796"/>
      <c r="AL350" s="796"/>
      <c r="AM350" s="796"/>
      <c r="AN350" s="796"/>
      <c r="AO350" s="796"/>
      <c r="AP350" s="796"/>
      <c r="AQ350" s="796"/>
      <c r="AR350" s="796"/>
      <c r="AS350" s="796"/>
      <c r="AT350" s="796"/>
      <c r="AU350" s="796"/>
      <c r="AV350" s="796"/>
      <c r="AW350" s="796"/>
      <c r="AX350" s="796"/>
      <c r="AY350" s="796"/>
      <c r="AZ350" s="796"/>
      <c r="BA350" s="796"/>
      <c r="BB350" s="796"/>
      <c r="BC350" s="796"/>
      <c r="BD350" s="796"/>
      <c r="BE350" s="796"/>
      <c r="BF350" s="796"/>
      <c r="BG350" s="796"/>
      <c r="BH350" s="796"/>
      <c r="BI350" s="796"/>
      <c r="BJ350" s="796"/>
      <c r="BK350" s="796"/>
      <c r="BL350" s="796"/>
    </row>
    <row r="351" spans="1:64" ht="15" customHeight="1">
      <c r="A351" s="796" t="s">
        <v>637</v>
      </c>
      <c r="B351" s="795" t="str">
        <f t="shared" si="85"/>
        <v>III</v>
      </c>
      <c r="C351" s="796" t="s">
        <v>638</v>
      </c>
      <c r="D351" s="795" t="str">
        <f t="shared" si="86"/>
        <v>II</v>
      </c>
      <c r="G351" s="796" t="s">
        <v>639</v>
      </c>
      <c r="H351" s="795" t="str">
        <f t="shared" si="87"/>
        <v>III</v>
      </c>
      <c r="M351" s="796" t="s">
        <v>640</v>
      </c>
      <c r="N351" s="796" t="str">
        <f t="shared" si="88"/>
        <v>IV</v>
      </c>
      <c r="Q351" s="796" t="s">
        <v>641</v>
      </c>
      <c r="R351" s="796" t="str">
        <f t="shared" si="90"/>
        <v>I</v>
      </c>
      <c r="S351" s="796" t="s">
        <v>642</v>
      </c>
      <c r="T351" s="796" t="str">
        <f t="shared" si="91"/>
        <v>II</v>
      </c>
      <c r="U351" s="796" t="s">
        <v>643</v>
      </c>
      <c r="V351" s="796" t="str">
        <f t="shared" si="92"/>
        <v>II</v>
      </c>
      <c r="W351" s="796" t="s">
        <v>644</v>
      </c>
      <c r="X351" s="796" t="str">
        <f t="shared" si="93"/>
        <v>III</v>
      </c>
      <c r="Y351" s="796" t="s">
        <v>645</v>
      </c>
      <c r="Z351" s="796" t="str">
        <f t="shared" si="94"/>
        <v>II</v>
      </c>
      <c r="AA351" s="796" t="s">
        <v>646</v>
      </c>
      <c r="AB351" s="796" t="str">
        <f t="shared" si="95"/>
        <v>I</v>
      </c>
      <c r="AC351" s="796" t="s">
        <v>647</v>
      </c>
      <c r="AD351" s="796" t="str">
        <f t="shared" si="96"/>
        <v>I</v>
      </c>
      <c r="AE351" s="796" t="s">
        <v>648</v>
      </c>
      <c r="AF351" s="796" t="str">
        <f t="shared" si="97"/>
        <v>I</v>
      </c>
      <c r="AG351" s="796"/>
      <c r="AH351" s="796"/>
      <c r="AI351" s="796"/>
      <c r="AJ351" s="796"/>
      <c r="AK351" s="796"/>
      <c r="AL351" s="796"/>
      <c r="AM351" s="796"/>
      <c r="AN351" s="796"/>
      <c r="AO351" s="796"/>
      <c r="AP351" s="796"/>
      <c r="AQ351" s="796"/>
      <c r="AR351" s="796"/>
      <c r="AS351" s="796"/>
      <c r="AT351" s="796"/>
      <c r="AU351" s="796"/>
      <c r="AV351" s="796"/>
      <c r="AW351" s="796"/>
      <c r="AX351" s="796"/>
      <c r="AY351" s="796"/>
      <c r="AZ351" s="796"/>
      <c r="BA351" s="796"/>
      <c r="BB351" s="796"/>
      <c r="BC351" s="796"/>
      <c r="BD351" s="796"/>
      <c r="BE351" s="796"/>
      <c r="BF351" s="796"/>
      <c r="BG351" s="796"/>
      <c r="BH351" s="796"/>
      <c r="BI351" s="796"/>
      <c r="BJ351" s="796"/>
      <c r="BK351" s="796"/>
      <c r="BL351" s="796"/>
    </row>
    <row r="352" spans="1:64" ht="15" customHeight="1">
      <c r="A352" s="796" t="s">
        <v>649</v>
      </c>
      <c r="B352" s="795" t="str">
        <f t="shared" si="85"/>
        <v>II</v>
      </c>
      <c r="C352" s="796" t="s">
        <v>650</v>
      </c>
      <c r="D352" s="795" t="str">
        <f t="shared" si="86"/>
        <v>II</v>
      </c>
      <c r="G352" s="796" t="s">
        <v>651</v>
      </c>
      <c r="H352" s="795" t="str">
        <f t="shared" si="87"/>
        <v>II</v>
      </c>
      <c r="M352" s="796" t="s">
        <v>652</v>
      </c>
      <c r="N352" s="796" t="str">
        <f t="shared" si="88"/>
        <v>II</v>
      </c>
      <c r="Q352" s="796" t="s">
        <v>653</v>
      </c>
      <c r="R352" s="796" t="str">
        <f t="shared" si="90"/>
        <v>IV</v>
      </c>
      <c r="S352" s="796" t="s">
        <v>654</v>
      </c>
      <c r="T352" s="796" t="str">
        <f t="shared" si="91"/>
        <v>III</v>
      </c>
      <c r="U352" s="796" t="s">
        <v>655</v>
      </c>
      <c r="V352" s="796" t="str">
        <f t="shared" si="92"/>
        <v>I</v>
      </c>
      <c r="W352" s="796" t="s">
        <v>656</v>
      </c>
      <c r="X352" s="796" t="str">
        <f t="shared" si="93"/>
        <v>I</v>
      </c>
      <c r="Y352" s="796" t="s">
        <v>657</v>
      </c>
      <c r="Z352" s="796" t="str">
        <f t="shared" si="94"/>
        <v>II</v>
      </c>
      <c r="AA352" s="796" t="s">
        <v>658</v>
      </c>
      <c r="AB352" s="796" t="str">
        <f t="shared" si="95"/>
        <v>II</v>
      </c>
      <c r="AC352" s="796" t="s">
        <v>659</v>
      </c>
      <c r="AD352" s="796" t="str">
        <f t="shared" si="96"/>
        <v>III</v>
      </c>
      <c r="AE352" s="796" t="s">
        <v>660</v>
      </c>
      <c r="AF352" s="796" t="str">
        <f t="shared" si="97"/>
        <v>I</v>
      </c>
      <c r="AG352" s="796"/>
      <c r="AH352" s="796"/>
      <c r="AI352" s="796"/>
      <c r="AJ352" s="796"/>
      <c r="AK352" s="796"/>
      <c r="AL352" s="796"/>
      <c r="AM352" s="796"/>
      <c r="AN352" s="796"/>
      <c r="AO352" s="796"/>
      <c r="AP352" s="796"/>
      <c r="AQ352" s="796"/>
      <c r="AR352" s="796"/>
      <c r="AS352" s="796"/>
      <c r="AT352" s="796"/>
      <c r="AU352" s="796"/>
      <c r="AV352" s="796"/>
      <c r="AW352" s="796"/>
      <c r="AX352" s="796"/>
      <c r="AY352" s="796"/>
      <c r="AZ352" s="796"/>
      <c r="BA352" s="796"/>
      <c r="BB352" s="796"/>
      <c r="BC352" s="796"/>
      <c r="BD352" s="796"/>
      <c r="BE352" s="796"/>
      <c r="BF352" s="796"/>
      <c r="BG352" s="796"/>
      <c r="BH352" s="796"/>
      <c r="BI352" s="796"/>
      <c r="BJ352" s="796"/>
      <c r="BK352" s="796"/>
      <c r="BL352" s="796"/>
    </row>
    <row r="353" spans="1:64" ht="15" customHeight="1">
      <c r="A353" s="796" t="s">
        <v>661</v>
      </c>
      <c r="B353" s="795" t="str">
        <f t="shared" si="85"/>
        <v>IV</v>
      </c>
      <c r="C353" s="796" t="s">
        <v>662</v>
      </c>
      <c r="D353" s="795" t="str">
        <f t="shared" si="86"/>
        <v>I</v>
      </c>
      <c r="G353" s="796" t="s">
        <v>663</v>
      </c>
      <c r="H353" s="795" t="str">
        <f t="shared" si="87"/>
        <v>II</v>
      </c>
      <c r="M353" s="796" t="s">
        <v>664</v>
      </c>
      <c r="N353" s="796" t="str">
        <f t="shared" si="88"/>
        <v>VI</v>
      </c>
      <c r="Q353" s="796" t="s">
        <v>665</v>
      </c>
      <c r="R353" s="796" t="str">
        <f t="shared" si="90"/>
        <v>II</v>
      </c>
      <c r="S353" s="796" t="s">
        <v>666</v>
      </c>
      <c r="T353" s="796" t="str">
        <f t="shared" si="91"/>
        <v>V</v>
      </c>
      <c r="U353" s="796" t="s">
        <v>667</v>
      </c>
      <c r="V353" s="796" t="str">
        <f t="shared" si="92"/>
        <v>I</v>
      </c>
      <c r="W353" s="796" t="s">
        <v>668</v>
      </c>
      <c r="X353" s="796" t="str">
        <f t="shared" si="93"/>
        <v>I</v>
      </c>
      <c r="Y353" s="796" t="s">
        <v>669</v>
      </c>
      <c r="Z353" s="796" t="str">
        <f t="shared" si="94"/>
        <v>II</v>
      </c>
      <c r="AA353" s="796" t="s">
        <v>670</v>
      </c>
      <c r="AB353" s="796" t="str">
        <f t="shared" si="95"/>
        <v>I</v>
      </c>
      <c r="AC353" s="796" t="s">
        <v>671</v>
      </c>
      <c r="AD353" s="796" t="str">
        <f t="shared" si="96"/>
        <v>II</v>
      </c>
      <c r="AE353" s="796" t="s">
        <v>672</v>
      </c>
      <c r="AF353" s="796" t="str">
        <f t="shared" si="97"/>
        <v>I</v>
      </c>
      <c r="AG353" s="796"/>
      <c r="AH353" s="796"/>
      <c r="AI353" s="796"/>
      <c r="AJ353" s="796"/>
      <c r="AK353" s="796"/>
      <c r="AL353" s="796"/>
      <c r="AM353" s="796"/>
      <c r="AN353" s="796"/>
      <c r="AO353" s="796"/>
      <c r="AP353" s="796"/>
      <c r="AQ353" s="796"/>
      <c r="AR353" s="796"/>
      <c r="AS353" s="796"/>
      <c r="AT353" s="796"/>
      <c r="AU353" s="796"/>
      <c r="AV353" s="796"/>
      <c r="AW353" s="796"/>
      <c r="AX353" s="796"/>
      <c r="AY353" s="796"/>
      <c r="AZ353" s="796"/>
      <c r="BA353" s="796"/>
      <c r="BB353" s="796"/>
      <c r="BC353" s="796"/>
      <c r="BD353" s="796"/>
      <c r="BE353" s="796"/>
      <c r="BF353" s="796"/>
      <c r="BG353" s="796"/>
      <c r="BH353" s="796"/>
      <c r="BI353" s="796"/>
      <c r="BJ353" s="796"/>
      <c r="BK353" s="796"/>
      <c r="BL353" s="796"/>
    </row>
    <row r="354" spans="1:64" ht="15" customHeight="1">
      <c r="A354" s="796" t="s">
        <v>673</v>
      </c>
      <c r="B354" s="795" t="str">
        <f t="shared" si="85"/>
        <v>I</v>
      </c>
      <c r="C354" s="796" t="s">
        <v>674</v>
      </c>
      <c r="D354" s="795" t="str">
        <f t="shared" si="86"/>
        <v>II</v>
      </c>
      <c r="G354" s="796" t="s">
        <v>675</v>
      </c>
      <c r="H354" s="795" t="str">
        <f t="shared" si="87"/>
        <v>I</v>
      </c>
      <c r="M354" s="796" t="s">
        <v>676</v>
      </c>
      <c r="N354" s="796" t="str">
        <f t="shared" si="88"/>
        <v>I</v>
      </c>
      <c r="Q354" s="796" t="s">
        <v>677</v>
      </c>
      <c r="R354" s="796" t="str">
        <f t="shared" si="90"/>
        <v>VI</v>
      </c>
      <c r="S354" s="796" t="s">
        <v>678</v>
      </c>
      <c r="T354" s="796" t="str">
        <f t="shared" si="91"/>
        <v>III</v>
      </c>
      <c r="U354" s="796" t="s">
        <v>679</v>
      </c>
      <c r="V354" s="796" t="str">
        <f t="shared" si="92"/>
        <v>I</v>
      </c>
      <c r="W354" s="796" t="s">
        <v>680</v>
      </c>
      <c r="X354" s="796" t="str">
        <f t="shared" si="93"/>
        <v>II</v>
      </c>
      <c r="Y354" s="796" t="s">
        <v>681</v>
      </c>
      <c r="Z354" s="796" t="str">
        <f t="shared" si="94"/>
        <v>I</v>
      </c>
      <c r="AA354" s="796" t="s">
        <v>682</v>
      </c>
      <c r="AB354" s="796" t="str">
        <f t="shared" si="95"/>
        <v>II</v>
      </c>
      <c r="AC354" s="796" t="s">
        <v>683</v>
      </c>
      <c r="AD354" s="796" t="str">
        <f t="shared" si="96"/>
        <v>III</v>
      </c>
      <c r="AE354" s="796" t="s">
        <v>684</v>
      </c>
      <c r="AF354" s="796" t="str">
        <f t="shared" si="97"/>
        <v>I</v>
      </c>
      <c r="AG354" s="796"/>
      <c r="AH354" s="796"/>
      <c r="AI354" s="796"/>
      <c r="AJ354" s="796"/>
      <c r="AK354" s="796"/>
      <c r="AL354" s="796"/>
      <c r="AM354" s="796"/>
      <c r="AN354" s="796"/>
      <c r="AO354" s="796"/>
      <c r="AP354" s="796"/>
      <c r="AQ354" s="796"/>
      <c r="AR354" s="796"/>
      <c r="AS354" s="796"/>
      <c r="AT354" s="796"/>
      <c r="AU354" s="796"/>
      <c r="AV354" s="796"/>
      <c r="AW354" s="796"/>
      <c r="AX354" s="796"/>
      <c r="AY354" s="796"/>
      <c r="AZ354" s="796"/>
      <c r="BA354" s="796"/>
      <c r="BB354" s="796"/>
      <c r="BC354" s="796"/>
      <c r="BD354" s="796"/>
      <c r="BE354" s="796"/>
      <c r="BF354" s="796"/>
      <c r="BG354" s="796"/>
      <c r="BH354" s="796"/>
      <c r="BI354" s="796"/>
      <c r="BJ354" s="796"/>
      <c r="BK354" s="796"/>
      <c r="BL354" s="796"/>
    </row>
    <row r="355" spans="1:64" ht="15" customHeight="1">
      <c r="A355" s="796" t="s">
        <v>685</v>
      </c>
      <c r="B355" s="795" t="str">
        <f t="shared" si="85"/>
        <v>VI</v>
      </c>
      <c r="C355" s="796" t="s">
        <v>686</v>
      </c>
      <c r="D355" s="795" t="str">
        <f t="shared" si="86"/>
        <v>I</v>
      </c>
      <c r="G355" s="796" t="s">
        <v>687</v>
      </c>
      <c r="H355" s="795" t="str">
        <f t="shared" si="87"/>
        <v>II</v>
      </c>
      <c r="M355" s="796" t="s">
        <v>688</v>
      </c>
      <c r="N355" s="796" t="str">
        <f t="shared" si="88"/>
        <v>IV</v>
      </c>
      <c r="Q355" s="796" t="s">
        <v>689</v>
      </c>
      <c r="R355" s="796" t="str">
        <f t="shared" si="90"/>
        <v>II</v>
      </c>
      <c r="S355" s="796" t="s">
        <v>690</v>
      </c>
      <c r="T355" s="796" t="str">
        <f t="shared" si="91"/>
        <v>II</v>
      </c>
      <c r="U355" s="796" t="s">
        <v>691</v>
      </c>
      <c r="V355" s="796" t="str">
        <f t="shared" si="92"/>
        <v>I</v>
      </c>
      <c r="W355" s="796" t="s">
        <v>692</v>
      </c>
      <c r="X355" s="796" t="str">
        <f t="shared" si="93"/>
        <v>III</v>
      </c>
      <c r="Y355" s="796" t="s">
        <v>693</v>
      </c>
      <c r="Z355" s="796" t="str">
        <f t="shared" si="94"/>
        <v>I</v>
      </c>
      <c r="AA355" s="796" t="s">
        <v>694</v>
      </c>
      <c r="AB355" s="796" t="str">
        <f t="shared" si="95"/>
        <v>II</v>
      </c>
      <c r="AC355" s="796" t="s">
        <v>695</v>
      </c>
      <c r="AD355" s="796" t="str">
        <f t="shared" si="96"/>
        <v>III</v>
      </c>
      <c r="AE355" s="796" t="s">
        <v>696</v>
      </c>
      <c r="AF355" s="796" t="str">
        <f t="shared" si="97"/>
        <v>I</v>
      </c>
      <c r="AG355" s="796"/>
      <c r="AH355" s="796"/>
      <c r="AI355" s="796"/>
      <c r="AJ355" s="796"/>
      <c r="AK355" s="796"/>
      <c r="AL355" s="796"/>
      <c r="AM355" s="796"/>
      <c r="AN355" s="796"/>
      <c r="AO355" s="796"/>
      <c r="AP355" s="796"/>
      <c r="AQ355" s="796"/>
      <c r="AR355" s="796"/>
      <c r="AS355" s="796"/>
      <c r="AT355" s="796"/>
      <c r="AU355" s="796"/>
      <c r="AV355" s="796"/>
      <c r="AW355" s="796"/>
      <c r="AX355" s="796"/>
      <c r="AY355" s="796"/>
      <c r="AZ355" s="796"/>
      <c r="BA355" s="796"/>
      <c r="BB355" s="796"/>
      <c r="BC355" s="796"/>
      <c r="BD355" s="796"/>
      <c r="BE355" s="796"/>
      <c r="BF355" s="796"/>
      <c r="BG355" s="796"/>
      <c r="BH355" s="796"/>
      <c r="BI355" s="796"/>
      <c r="BJ355" s="796"/>
      <c r="BK355" s="796"/>
      <c r="BL355" s="796"/>
    </row>
    <row r="356" spans="1:64" ht="15" customHeight="1">
      <c r="A356" s="796" t="s">
        <v>697</v>
      </c>
      <c r="B356" s="795" t="str">
        <f t="shared" si="85"/>
        <v>II</v>
      </c>
      <c r="C356" s="796" t="s">
        <v>698</v>
      </c>
      <c r="D356" s="795" t="str">
        <f t="shared" si="86"/>
        <v>II</v>
      </c>
      <c r="G356" s="796" t="s">
        <v>699</v>
      </c>
      <c r="H356" s="795" t="str">
        <f t="shared" ref="H356:H387" si="98">VLOOKUP(G356,Brandenburg,IF(Jahreszahl&lt;2020,3,2))</f>
        <v>I</v>
      </c>
      <c r="M356" s="796" t="s">
        <v>700</v>
      </c>
      <c r="N356" s="796" t="str">
        <f t="shared" ref="N356:N387" si="99">VLOOKUP(M356,Hessen,IF(Jahreszahl&lt;2020,3,2))</f>
        <v>VI</v>
      </c>
      <c r="Q356" s="796" t="s">
        <v>701</v>
      </c>
      <c r="R356" s="796" t="str">
        <f t="shared" si="90"/>
        <v>III</v>
      </c>
      <c r="S356" s="796" t="s">
        <v>702</v>
      </c>
      <c r="T356" s="796" t="str">
        <f t="shared" si="91"/>
        <v>I</v>
      </c>
      <c r="U356" s="796" t="s">
        <v>703</v>
      </c>
      <c r="V356" s="796" t="str">
        <f t="shared" ref="V356:V387" si="100">VLOOKUP(U356,RLP,IF(Jahreszahl&lt;2020,3,2))</f>
        <v>I</v>
      </c>
      <c r="W356" s="796" t="s">
        <v>704</v>
      </c>
      <c r="X356" s="796" t="str">
        <f t="shared" si="93"/>
        <v>II</v>
      </c>
      <c r="Y356" s="796" t="s">
        <v>705</v>
      </c>
      <c r="Z356" s="796" t="str">
        <f t="shared" ref="Z356:Z387" si="101">VLOOKUP(Y356,Sachsen,IF(Jahreszahl&lt;2020,3,2))</f>
        <v>I</v>
      </c>
      <c r="AA356" s="796" t="s">
        <v>706</v>
      </c>
      <c r="AB356" s="796" t="str">
        <f t="shared" ref="AB356:AB387" si="102">VLOOKUP(AA356,Saanhalt,IF(Jahreszahl&lt;2020,3,2))</f>
        <v>I</v>
      </c>
      <c r="AC356" s="796" t="s">
        <v>707</v>
      </c>
      <c r="AD356" s="796" t="str">
        <f t="shared" ref="AD356:AD387" si="103">VLOOKUP(AC356,Schleswig,IF(Jahreszahl&lt;2020,3,2))</f>
        <v>III</v>
      </c>
      <c r="AE356" s="796" t="s">
        <v>708</v>
      </c>
      <c r="AF356" s="796" t="str">
        <f t="shared" ref="AF356:AF373" si="104">VLOOKUP(AE356,Thüringen,IF(Jahreszahl&lt;2020,3,2))</f>
        <v>I</v>
      </c>
      <c r="AG356" s="796"/>
      <c r="AH356" s="796"/>
      <c r="AI356" s="796"/>
      <c r="AJ356" s="796"/>
      <c r="AK356" s="796"/>
      <c r="AL356" s="796"/>
      <c r="AM356" s="796"/>
      <c r="AN356" s="796"/>
      <c r="AO356" s="796"/>
      <c r="AP356" s="796"/>
      <c r="AQ356" s="796"/>
      <c r="AR356" s="796"/>
      <c r="AS356" s="796"/>
      <c r="AT356" s="796"/>
      <c r="AU356" s="796"/>
      <c r="AV356" s="796"/>
      <c r="AW356" s="796"/>
      <c r="AX356" s="796"/>
      <c r="AY356" s="796"/>
      <c r="AZ356" s="796"/>
      <c r="BA356" s="796"/>
      <c r="BB356" s="796"/>
      <c r="BC356" s="796"/>
      <c r="BD356" s="796"/>
      <c r="BE356" s="796"/>
      <c r="BF356" s="796"/>
      <c r="BG356" s="796"/>
      <c r="BH356" s="796"/>
      <c r="BI356" s="796"/>
      <c r="BJ356" s="796"/>
      <c r="BK356" s="796"/>
      <c r="BL356" s="796"/>
    </row>
    <row r="357" spans="1:64" ht="15" customHeight="1">
      <c r="A357" s="796" t="s">
        <v>709</v>
      </c>
      <c r="B357" s="795" t="str">
        <f t="shared" si="85"/>
        <v>III</v>
      </c>
      <c r="C357" s="796" t="s">
        <v>710</v>
      </c>
      <c r="D357" s="795" t="str">
        <f t="shared" si="86"/>
        <v>VII</v>
      </c>
      <c r="G357" s="796" t="s">
        <v>711</v>
      </c>
      <c r="H357" s="795" t="str">
        <f t="shared" si="98"/>
        <v>II</v>
      </c>
      <c r="M357" s="796" t="s">
        <v>712</v>
      </c>
      <c r="N357" s="796" t="str">
        <f t="shared" si="99"/>
        <v>II</v>
      </c>
      <c r="Q357" s="796" t="s">
        <v>713</v>
      </c>
      <c r="R357" s="796" t="str">
        <f t="shared" si="90"/>
        <v>V</v>
      </c>
      <c r="S357" s="796" t="s">
        <v>714</v>
      </c>
      <c r="T357" s="796" t="str">
        <f t="shared" si="91"/>
        <v>I</v>
      </c>
      <c r="U357" s="796" t="s">
        <v>715</v>
      </c>
      <c r="V357" s="796" t="str">
        <f t="shared" si="100"/>
        <v>I</v>
      </c>
      <c r="W357" s="796" t="s">
        <v>716</v>
      </c>
      <c r="X357" s="796" t="str">
        <f t="shared" si="93"/>
        <v>I</v>
      </c>
      <c r="Y357" s="796" t="s">
        <v>717</v>
      </c>
      <c r="Z357" s="796" t="str">
        <f t="shared" si="101"/>
        <v>I</v>
      </c>
      <c r="AA357" s="796" t="s">
        <v>718</v>
      </c>
      <c r="AB357" s="796" t="str">
        <f t="shared" si="102"/>
        <v>I</v>
      </c>
      <c r="AC357" s="796" t="s">
        <v>719</v>
      </c>
      <c r="AD357" s="796" t="str">
        <f t="shared" si="103"/>
        <v>II</v>
      </c>
      <c r="AE357" s="796" t="s">
        <v>720</v>
      </c>
      <c r="AF357" s="796" t="str">
        <f t="shared" si="104"/>
        <v>II</v>
      </c>
      <c r="AG357" s="796"/>
      <c r="AH357" s="796"/>
      <c r="AI357" s="796"/>
      <c r="AJ357" s="796"/>
      <c r="AK357" s="796"/>
      <c r="AL357" s="796"/>
      <c r="AM357" s="796"/>
      <c r="AN357" s="796"/>
      <c r="AO357" s="796"/>
      <c r="AP357" s="796"/>
      <c r="AQ357" s="796"/>
      <c r="AR357" s="796"/>
      <c r="AS357" s="796"/>
      <c r="AT357" s="796"/>
      <c r="AU357" s="796"/>
      <c r="AV357" s="796"/>
      <c r="AW357" s="796"/>
      <c r="AX357" s="796"/>
      <c r="AY357" s="796"/>
      <c r="AZ357" s="796"/>
      <c r="BA357" s="796"/>
      <c r="BB357" s="796"/>
      <c r="BC357" s="796"/>
      <c r="BD357" s="796"/>
      <c r="BE357" s="796"/>
      <c r="BF357" s="796"/>
      <c r="BG357" s="796"/>
      <c r="BH357" s="796"/>
      <c r="BI357" s="796"/>
      <c r="BJ357" s="796"/>
      <c r="BK357" s="796"/>
      <c r="BL357" s="796"/>
    </row>
    <row r="358" spans="1:64" ht="15" customHeight="1">
      <c r="A358" s="796" t="s">
        <v>721</v>
      </c>
      <c r="B358" s="795" t="str">
        <f t="shared" si="85"/>
        <v>IV</v>
      </c>
      <c r="C358" s="796" t="s">
        <v>722</v>
      </c>
      <c r="D358" s="795" t="str">
        <f t="shared" si="86"/>
        <v>II</v>
      </c>
      <c r="G358" s="796" t="s">
        <v>723</v>
      </c>
      <c r="H358" s="795" t="str">
        <f t="shared" si="98"/>
        <v>I</v>
      </c>
      <c r="M358" s="796" t="s">
        <v>724</v>
      </c>
      <c r="N358" s="796" t="str">
        <f t="shared" si="99"/>
        <v>V</v>
      </c>
      <c r="Q358" s="796" t="s">
        <v>725</v>
      </c>
      <c r="R358" s="796" t="str">
        <f t="shared" si="90"/>
        <v>V</v>
      </c>
      <c r="S358" s="796" t="s">
        <v>726</v>
      </c>
      <c r="T358" s="796" t="str">
        <f t="shared" si="91"/>
        <v>III</v>
      </c>
      <c r="U358" s="796" t="s">
        <v>727</v>
      </c>
      <c r="V358" s="796" t="str">
        <f t="shared" si="100"/>
        <v>II</v>
      </c>
      <c r="W358" s="796" t="s">
        <v>728</v>
      </c>
      <c r="X358" s="796" t="str">
        <f t="shared" si="93"/>
        <v>II</v>
      </c>
      <c r="Y358" s="796" t="s">
        <v>729</v>
      </c>
      <c r="Z358" s="796" t="str">
        <f t="shared" si="101"/>
        <v>II</v>
      </c>
      <c r="AA358" s="796" t="s">
        <v>730</v>
      </c>
      <c r="AB358" s="796" t="str">
        <f t="shared" si="102"/>
        <v>I</v>
      </c>
      <c r="AC358" s="796" t="s">
        <v>731</v>
      </c>
      <c r="AD358" s="796" t="str">
        <f t="shared" si="103"/>
        <v>I</v>
      </c>
      <c r="AE358" s="796" t="s">
        <v>732</v>
      </c>
      <c r="AF358" s="796" t="str">
        <f t="shared" si="104"/>
        <v>II</v>
      </c>
      <c r="AG358" s="796"/>
      <c r="AH358" s="796"/>
      <c r="AI358" s="796"/>
      <c r="AJ358" s="796"/>
      <c r="AK358" s="796"/>
      <c r="AL358" s="796"/>
      <c r="AM358" s="796"/>
      <c r="AN358" s="796"/>
      <c r="AO358" s="796"/>
      <c r="AP358" s="796"/>
      <c r="AQ358" s="796"/>
      <c r="AR358" s="796"/>
      <c r="AS358" s="796"/>
      <c r="AT358" s="796"/>
      <c r="AU358" s="796"/>
      <c r="AV358" s="796"/>
      <c r="AW358" s="796"/>
      <c r="AX358" s="796"/>
      <c r="AY358" s="796"/>
      <c r="AZ358" s="796"/>
      <c r="BA358" s="796"/>
      <c r="BB358" s="796"/>
      <c r="BC358" s="796"/>
      <c r="BD358" s="796"/>
      <c r="BE358" s="796"/>
      <c r="BF358" s="796"/>
      <c r="BG358" s="796"/>
      <c r="BH358" s="796"/>
      <c r="BI358" s="796"/>
      <c r="BJ358" s="796"/>
      <c r="BK358" s="796"/>
      <c r="BL358" s="796"/>
    </row>
    <row r="359" spans="1:64" ht="15" customHeight="1">
      <c r="A359" s="796" t="s">
        <v>733</v>
      </c>
      <c r="B359" s="795" t="str">
        <f t="shared" si="85"/>
        <v>III</v>
      </c>
      <c r="C359" s="796" t="s">
        <v>734</v>
      </c>
      <c r="D359" s="795" t="str">
        <f t="shared" si="86"/>
        <v>III</v>
      </c>
      <c r="G359" s="796" t="s">
        <v>735</v>
      </c>
      <c r="H359" s="795" t="str">
        <f t="shared" si="98"/>
        <v>II</v>
      </c>
      <c r="M359" s="796" t="s">
        <v>736</v>
      </c>
      <c r="N359" s="796" t="str">
        <f t="shared" si="99"/>
        <v>VI</v>
      </c>
      <c r="Q359" s="796" t="s">
        <v>737</v>
      </c>
      <c r="R359" s="796" t="str">
        <f t="shared" si="90"/>
        <v>III</v>
      </c>
      <c r="S359" s="796" t="s">
        <v>738</v>
      </c>
      <c r="T359" s="796" t="str">
        <f t="shared" si="91"/>
        <v>I</v>
      </c>
      <c r="U359" s="796" t="s">
        <v>739</v>
      </c>
      <c r="V359" s="796" t="str">
        <f t="shared" si="100"/>
        <v>I</v>
      </c>
      <c r="W359" s="796" t="s">
        <v>740</v>
      </c>
      <c r="X359" s="796" t="str">
        <f t="shared" si="93"/>
        <v>II</v>
      </c>
      <c r="Y359" s="796" t="s">
        <v>741</v>
      </c>
      <c r="Z359" s="796" t="str">
        <f t="shared" si="101"/>
        <v>I</v>
      </c>
      <c r="AA359" s="796" t="s">
        <v>742</v>
      </c>
      <c r="AB359" s="796" t="str">
        <f t="shared" si="102"/>
        <v>II</v>
      </c>
      <c r="AC359" s="796" t="s">
        <v>743</v>
      </c>
      <c r="AD359" s="796" t="str">
        <f t="shared" si="103"/>
        <v>III</v>
      </c>
      <c r="AE359" s="796" t="s">
        <v>744</v>
      </c>
      <c r="AF359" s="796" t="str">
        <f t="shared" si="104"/>
        <v>I</v>
      </c>
      <c r="AG359" s="796"/>
      <c r="AH359" s="796"/>
      <c r="AI359" s="796"/>
      <c r="AJ359" s="796"/>
      <c r="AK359" s="796"/>
      <c r="AL359" s="796"/>
      <c r="AM359" s="796"/>
      <c r="AN359" s="796"/>
      <c r="AO359" s="796"/>
      <c r="AP359" s="796"/>
      <c r="AQ359" s="796"/>
      <c r="AR359" s="796"/>
      <c r="AS359" s="796"/>
      <c r="AT359" s="796"/>
      <c r="AU359" s="796"/>
      <c r="AV359" s="796"/>
      <c r="AW359" s="796"/>
      <c r="AX359" s="796"/>
      <c r="AY359" s="796"/>
      <c r="AZ359" s="796"/>
      <c r="BA359" s="796"/>
      <c r="BB359" s="796"/>
      <c r="BC359" s="796"/>
      <c r="BD359" s="796"/>
      <c r="BE359" s="796"/>
      <c r="BF359" s="796"/>
      <c r="BG359" s="796"/>
      <c r="BH359" s="796"/>
      <c r="BI359" s="796"/>
      <c r="BJ359" s="796"/>
      <c r="BK359" s="796"/>
      <c r="BL359" s="796"/>
    </row>
    <row r="360" spans="1:64" ht="15" customHeight="1">
      <c r="A360" s="796" t="s">
        <v>745</v>
      </c>
      <c r="B360" s="795" t="str">
        <f t="shared" si="85"/>
        <v>II</v>
      </c>
      <c r="C360" s="796" t="s">
        <v>746</v>
      </c>
      <c r="D360" s="795" t="str">
        <f t="shared" si="86"/>
        <v>V</v>
      </c>
      <c r="G360" s="796" t="s">
        <v>747</v>
      </c>
      <c r="H360" s="795" t="str">
        <f t="shared" si="98"/>
        <v>I</v>
      </c>
      <c r="M360" s="796" t="s">
        <v>748</v>
      </c>
      <c r="N360" s="796" t="str">
        <f t="shared" si="99"/>
        <v>I</v>
      </c>
      <c r="Q360" s="796" t="s">
        <v>749</v>
      </c>
      <c r="R360" s="796" t="str">
        <f t="shared" si="90"/>
        <v>I</v>
      </c>
      <c r="S360" s="796" t="s">
        <v>750</v>
      </c>
      <c r="T360" s="796" t="str">
        <f t="shared" si="91"/>
        <v>I</v>
      </c>
      <c r="U360" s="796" t="s">
        <v>751</v>
      </c>
      <c r="V360" s="796" t="str">
        <f t="shared" si="100"/>
        <v>I</v>
      </c>
      <c r="W360" s="796" t="s">
        <v>752</v>
      </c>
      <c r="X360" s="796" t="str">
        <f t="shared" si="93"/>
        <v>I</v>
      </c>
      <c r="Y360" s="796" t="s">
        <v>753</v>
      </c>
      <c r="Z360" s="796" t="str">
        <f t="shared" si="101"/>
        <v>I</v>
      </c>
      <c r="AA360" s="796" t="s">
        <v>754</v>
      </c>
      <c r="AB360" s="796" t="str">
        <f t="shared" si="102"/>
        <v>III</v>
      </c>
      <c r="AC360" s="796" t="s">
        <v>755</v>
      </c>
      <c r="AD360" s="796" t="str">
        <f t="shared" si="103"/>
        <v>II</v>
      </c>
      <c r="AE360" s="796" t="s">
        <v>756</v>
      </c>
      <c r="AF360" s="796" t="str">
        <f t="shared" si="104"/>
        <v>II</v>
      </c>
      <c r="AG360" s="796"/>
      <c r="AH360" s="796"/>
      <c r="AI360" s="796"/>
      <c r="AJ360" s="796"/>
      <c r="AK360" s="796"/>
      <c r="AL360" s="796"/>
      <c r="AM360" s="796"/>
      <c r="AN360" s="796"/>
      <c r="AO360" s="796"/>
      <c r="AP360" s="796"/>
      <c r="AQ360" s="796"/>
      <c r="AR360" s="796"/>
      <c r="AS360" s="796"/>
      <c r="AT360" s="796"/>
      <c r="AU360" s="796"/>
      <c r="AV360" s="796"/>
      <c r="AW360" s="796"/>
      <c r="AX360" s="796"/>
      <c r="AY360" s="796"/>
      <c r="AZ360" s="796"/>
      <c r="BA360" s="796"/>
      <c r="BB360" s="796"/>
      <c r="BC360" s="796"/>
      <c r="BD360" s="796"/>
      <c r="BE360" s="796"/>
      <c r="BF360" s="796"/>
      <c r="BG360" s="796"/>
      <c r="BH360" s="796"/>
      <c r="BI360" s="796"/>
      <c r="BJ360" s="796"/>
      <c r="BK360" s="796"/>
      <c r="BL360" s="796"/>
    </row>
    <row r="361" spans="1:64" ht="15" customHeight="1">
      <c r="A361" s="796" t="s">
        <v>757</v>
      </c>
      <c r="B361" s="795" t="str">
        <f t="shared" si="85"/>
        <v>III</v>
      </c>
      <c r="C361" s="796" t="s">
        <v>758</v>
      </c>
      <c r="D361" s="795" t="str">
        <f t="shared" si="86"/>
        <v>II</v>
      </c>
      <c r="G361" s="796" t="s">
        <v>759</v>
      </c>
      <c r="H361" s="795" t="str">
        <f t="shared" si="98"/>
        <v>II</v>
      </c>
      <c r="M361" s="796" t="s">
        <v>760</v>
      </c>
      <c r="N361" s="796" t="str">
        <f t="shared" si="99"/>
        <v>V</v>
      </c>
      <c r="Q361" s="796" t="s">
        <v>761</v>
      </c>
      <c r="R361" s="796" t="str">
        <f t="shared" si="90"/>
        <v>II</v>
      </c>
      <c r="S361" s="796" t="s">
        <v>762</v>
      </c>
      <c r="T361" s="796" t="str">
        <f t="shared" si="91"/>
        <v>III</v>
      </c>
      <c r="U361" s="796" t="s">
        <v>763</v>
      </c>
      <c r="V361" s="796" t="str">
        <f t="shared" si="100"/>
        <v>III</v>
      </c>
      <c r="W361" s="796" t="s">
        <v>764</v>
      </c>
      <c r="X361" s="796" t="str">
        <f t="shared" si="93"/>
        <v>I</v>
      </c>
      <c r="Y361" s="796" t="s">
        <v>765</v>
      </c>
      <c r="Z361" s="796" t="str">
        <f t="shared" si="101"/>
        <v>I</v>
      </c>
      <c r="AA361" s="796" t="s">
        <v>766</v>
      </c>
      <c r="AB361" s="796" t="str">
        <f t="shared" si="102"/>
        <v>III</v>
      </c>
      <c r="AC361" s="796" t="s">
        <v>767</v>
      </c>
      <c r="AD361" s="796" t="str">
        <f t="shared" si="103"/>
        <v>IV</v>
      </c>
      <c r="AE361" s="796" t="s">
        <v>768</v>
      </c>
      <c r="AF361" s="796" t="str">
        <f t="shared" si="104"/>
        <v>II</v>
      </c>
      <c r="AG361" s="796"/>
      <c r="AH361" s="796"/>
      <c r="AI361" s="796"/>
      <c r="AJ361" s="796"/>
      <c r="AK361" s="796"/>
      <c r="AL361" s="796"/>
      <c r="AM361" s="796"/>
      <c r="AN361" s="796"/>
      <c r="AO361" s="796"/>
      <c r="AP361" s="796"/>
      <c r="AQ361" s="796"/>
      <c r="AR361" s="796"/>
      <c r="AS361" s="796"/>
      <c r="AT361" s="796"/>
      <c r="AU361" s="796"/>
      <c r="AV361" s="796"/>
      <c r="AW361" s="796"/>
      <c r="AX361" s="796"/>
      <c r="AY361" s="796"/>
      <c r="AZ361" s="796"/>
      <c r="BA361" s="796"/>
      <c r="BB361" s="796"/>
      <c r="BC361" s="796"/>
      <c r="BD361" s="796"/>
      <c r="BE361" s="796"/>
      <c r="BF361" s="796"/>
      <c r="BG361" s="796"/>
      <c r="BH361" s="796"/>
      <c r="BI361" s="796"/>
      <c r="BJ361" s="796"/>
      <c r="BK361" s="796"/>
      <c r="BL361" s="796"/>
    </row>
    <row r="362" spans="1:64" ht="15" customHeight="1">
      <c r="A362" s="796" t="s">
        <v>769</v>
      </c>
      <c r="B362" s="795" t="str">
        <f t="shared" si="85"/>
        <v>IV</v>
      </c>
      <c r="C362" s="796" t="s">
        <v>770</v>
      </c>
      <c r="D362" s="795" t="str">
        <f t="shared" si="86"/>
        <v>II</v>
      </c>
      <c r="G362" s="796" t="s">
        <v>771</v>
      </c>
      <c r="H362" s="795" t="str">
        <f t="shared" si="98"/>
        <v>I</v>
      </c>
      <c r="M362" s="796" t="s">
        <v>772</v>
      </c>
      <c r="N362" s="796" t="str">
        <f t="shared" si="99"/>
        <v>V</v>
      </c>
      <c r="Q362" s="796" t="s">
        <v>773</v>
      </c>
      <c r="R362" s="796" t="str">
        <f t="shared" si="90"/>
        <v>III</v>
      </c>
      <c r="S362" s="796" t="s">
        <v>774</v>
      </c>
      <c r="T362" s="796" t="str">
        <f t="shared" si="91"/>
        <v>III</v>
      </c>
      <c r="U362" s="796" t="s">
        <v>775</v>
      </c>
      <c r="V362" s="796" t="str">
        <f t="shared" si="100"/>
        <v>I</v>
      </c>
      <c r="W362" s="796" t="s">
        <v>776</v>
      </c>
      <c r="X362" s="796" t="str">
        <f t="shared" si="93"/>
        <v>II</v>
      </c>
      <c r="Y362" s="796" t="s">
        <v>777</v>
      </c>
      <c r="Z362" s="796" t="str">
        <f t="shared" si="101"/>
        <v>I</v>
      </c>
      <c r="AA362" s="796" t="s">
        <v>778</v>
      </c>
      <c r="AB362" s="796" t="str">
        <f t="shared" si="102"/>
        <v>I</v>
      </c>
      <c r="AC362" s="796" t="s">
        <v>779</v>
      </c>
      <c r="AD362" s="796" t="str">
        <f t="shared" si="103"/>
        <v>IV</v>
      </c>
      <c r="AE362" s="796" t="s">
        <v>780</v>
      </c>
      <c r="AF362" s="796" t="str">
        <f t="shared" si="104"/>
        <v>II</v>
      </c>
      <c r="AG362" s="796"/>
      <c r="AH362" s="796"/>
      <c r="AI362" s="796"/>
      <c r="AJ362" s="796"/>
      <c r="AK362" s="796"/>
      <c r="AL362" s="796"/>
      <c r="AM362" s="796"/>
      <c r="AN362" s="796"/>
      <c r="AO362" s="796"/>
      <c r="AP362" s="796"/>
      <c r="AQ362" s="796"/>
      <c r="AR362" s="796"/>
      <c r="AS362" s="796"/>
      <c r="AT362" s="796"/>
      <c r="AU362" s="796"/>
      <c r="AV362" s="796"/>
      <c r="AW362" s="796"/>
      <c r="AX362" s="796"/>
      <c r="AY362" s="796"/>
      <c r="AZ362" s="796"/>
      <c r="BA362" s="796"/>
      <c r="BB362" s="796"/>
      <c r="BC362" s="796"/>
      <c r="BD362" s="796"/>
      <c r="BE362" s="796"/>
      <c r="BF362" s="796"/>
      <c r="BG362" s="796"/>
      <c r="BH362" s="796"/>
      <c r="BI362" s="796"/>
      <c r="BJ362" s="796"/>
      <c r="BK362" s="796"/>
      <c r="BL362" s="796"/>
    </row>
    <row r="363" spans="1:64" ht="15" customHeight="1">
      <c r="A363" s="796" t="s">
        <v>781</v>
      </c>
      <c r="B363" s="795" t="str">
        <f t="shared" si="85"/>
        <v>I</v>
      </c>
      <c r="C363" s="796" t="s">
        <v>782</v>
      </c>
      <c r="D363" s="795" t="str">
        <f t="shared" si="86"/>
        <v>I</v>
      </c>
      <c r="G363" s="796" t="s">
        <v>783</v>
      </c>
      <c r="H363" s="795" t="str">
        <f t="shared" si="98"/>
        <v>I</v>
      </c>
      <c r="M363" s="796" t="s">
        <v>784</v>
      </c>
      <c r="N363" s="796" t="str">
        <f t="shared" si="99"/>
        <v>III</v>
      </c>
      <c r="Q363" s="796" t="s">
        <v>785</v>
      </c>
      <c r="R363" s="796" t="str">
        <f t="shared" si="90"/>
        <v>II</v>
      </c>
      <c r="S363" s="796" t="s">
        <v>786</v>
      </c>
      <c r="T363" s="796" t="str">
        <f t="shared" si="91"/>
        <v>II</v>
      </c>
      <c r="U363" s="796" t="s">
        <v>787</v>
      </c>
      <c r="V363" s="796" t="str">
        <f t="shared" si="100"/>
        <v>I</v>
      </c>
      <c r="W363" s="796" t="s">
        <v>788</v>
      </c>
      <c r="X363" s="796" t="str">
        <f t="shared" si="93"/>
        <v>I</v>
      </c>
      <c r="Y363" s="796" t="s">
        <v>789</v>
      </c>
      <c r="Z363" s="796" t="str">
        <f t="shared" si="101"/>
        <v>I</v>
      </c>
      <c r="AA363" s="796" t="s">
        <v>790</v>
      </c>
      <c r="AB363" s="796" t="str">
        <f t="shared" si="102"/>
        <v>II</v>
      </c>
      <c r="AC363" s="796" t="s">
        <v>791</v>
      </c>
      <c r="AD363" s="796" t="str">
        <f t="shared" si="103"/>
        <v>IV</v>
      </c>
      <c r="AE363" s="796" t="s">
        <v>792</v>
      </c>
      <c r="AF363" s="796" t="str">
        <f t="shared" si="104"/>
        <v>II</v>
      </c>
      <c r="AG363" s="796"/>
      <c r="AH363" s="796"/>
      <c r="AI363" s="796"/>
      <c r="AJ363" s="796"/>
      <c r="AK363" s="796"/>
      <c r="AL363" s="796"/>
      <c r="AM363" s="796"/>
      <c r="AN363" s="796"/>
      <c r="AO363" s="796"/>
      <c r="AP363" s="796"/>
      <c r="AQ363" s="796"/>
      <c r="AR363" s="796"/>
      <c r="AS363" s="796"/>
      <c r="AT363" s="796"/>
      <c r="AU363" s="796"/>
      <c r="AV363" s="796"/>
      <c r="AW363" s="796"/>
      <c r="AX363" s="796"/>
      <c r="AY363" s="796"/>
      <c r="AZ363" s="796"/>
      <c r="BA363" s="796"/>
      <c r="BB363" s="796"/>
      <c r="BC363" s="796"/>
      <c r="BD363" s="796"/>
      <c r="BE363" s="796"/>
      <c r="BF363" s="796"/>
      <c r="BG363" s="796"/>
      <c r="BH363" s="796"/>
      <c r="BI363" s="796"/>
      <c r="BJ363" s="796"/>
      <c r="BK363" s="796"/>
      <c r="BL363" s="796"/>
    </row>
    <row r="364" spans="1:64" ht="15" customHeight="1">
      <c r="A364" s="796" t="s">
        <v>793</v>
      </c>
      <c r="B364" s="795" t="str">
        <f t="shared" si="85"/>
        <v>III</v>
      </c>
      <c r="C364" s="796" t="s">
        <v>794</v>
      </c>
      <c r="D364" s="795" t="str">
        <f t="shared" si="86"/>
        <v>II</v>
      </c>
      <c r="G364" s="796" t="s">
        <v>795</v>
      </c>
      <c r="H364" s="795" t="str">
        <f t="shared" si="98"/>
        <v>II</v>
      </c>
      <c r="M364" s="796" t="s">
        <v>796</v>
      </c>
      <c r="N364" s="796" t="str">
        <f t="shared" si="99"/>
        <v>IV</v>
      </c>
      <c r="Q364" s="796" t="s">
        <v>797</v>
      </c>
      <c r="R364" s="796" t="str">
        <f t="shared" si="90"/>
        <v>I</v>
      </c>
      <c r="S364" s="796" t="s">
        <v>798</v>
      </c>
      <c r="T364" s="796" t="str">
        <f t="shared" si="91"/>
        <v>V</v>
      </c>
      <c r="U364" s="796" t="s">
        <v>799</v>
      </c>
      <c r="V364" s="796" t="str">
        <f t="shared" si="100"/>
        <v>I</v>
      </c>
      <c r="W364" s="796" t="s">
        <v>800</v>
      </c>
      <c r="X364" s="796" t="str">
        <f t="shared" si="93"/>
        <v>II</v>
      </c>
      <c r="Y364" s="796" t="s">
        <v>801</v>
      </c>
      <c r="Z364" s="796" t="str">
        <f t="shared" si="101"/>
        <v>I</v>
      </c>
      <c r="AA364" s="796" t="s">
        <v>802</v>
      </c>
      <c r="AB364" s="796" t="str">
        <f t="shared" si="102"/>
        <v>III</v>
      </c>
      <c r="AC364" s="796" t="s">
        <v>803</v>
      </c>
      <c r="AD364" s="796" t="str">
        <f t="shared" si="103"/>
        <v>IV</v>
      </c>
      <c r="AE364" s="796" t="s">
        <v>804</v>
      </c>
      <c r="AF364" s="796" t="str">
        <f t="shared" si="104"/>
        <v>II</v>
      </c>
      <c r="AG364" s="796"/>
      <c r="AH364" s="796"/>
      <c r="AI364" s="796"/>
      <c r="AJ364" s="796"/>
      <c r="AK364" s="796"/>
      <c r="AL364" s="796"/>
      <c r="AM364" s="796"/>
      <c r="AN364" s="796"/>
      <c r="AO364" s="796"/>
      <c r="AP364" s="796"/>
      <c r="AQ364" s="796"/>
      <c r="AR364" s="796"/>
      <c r="AS364" s="796"/>
      <c r="AT364" s="796"/>
      <c r="AU364" s="796"/>
      <c r="AV364" s="796"/>
      <c r="AW364" s="796"/>
      <c r="AX364" s="796"/>
      <c r="AY364" s="796"/>
      <c r="AZ364" s="796"/>
      <c r="BA364" s="796"/>
      <c r="BB364" s="796"/>
      <c r="BC364" s="796"/>
      <c r="BD364" s="796"/>
      <c r="BE364" s="796"/>
      <c r="BF364" s="796"/>
      <c r="BG364" s="796"/>
      <c r="BH364" s="796"/>
      <c r="BI364" s="796"/>
      <c r="BJ364" s="796"/>
      <c r="BK364" s="796"/>
      <c r="BL364" s="796"/>
    </row>
    <row r="365" spans="1:64" ht="15" customHeight="1">
      <c r="A365" s="796" t="s">
        <v>805</v>
      </c>
      <c r="B365" s="795" t="str">
        <f t="shared" si="85"/>
        <v>I</v>
      </c>
      <c r="C365" s="796" t="s">
        <v>806</v>
      </c>
      <c r="D365" s="795" t="str">
        <f t="shared" si="86"/>
        <v>IV</v>
      </c>
      <c r="G365" s="796" t="s">
        <v>807</v>
      </c>
      <c r="H365" s="795" t="str">
        <f t="shared" si="98"/>
        <v>I</v>
      </c>
      <c r="M365" s="796" t="s">
        <v>808</v>
      </c>
      <c r="N365" s="796" t="str">
        <f t="shared" si="99"/>
        <v>VI</v>
      </c>
      <c r="Q365" s="796" t="s">
        <v>809</v>
      </c>
      <c r="R365" s="796" t="str">
        <f t="shared" si="90"/>
        <v>III</v>
      </c>
      <c r="S365" s="796" t="s">
        <v>810</v>
      </c>
      <c r="T365" s="796" t="str">
        <f t="shared" si="91"/>
        <v>I</v>
      </c>
      <c r="U365" s="796" t="s">
        <v>811</v>
      </c>
      <c r="V365" s="796" t="str">
        <f t="shared" si="100"/>
        <v>I</v>
      </c>
      <c r="W365" s="796" t="s">
        <v>812</v>
      </c>
      <c r="X365" s="796" t="str">
        <f t="shared" si="93"/>
        <v>I</v>
      </c>
      <c r="Y365" s="796" t="s">
        <v>813</v>
      </c>
      <c r="Z365" s="796" t="str">
        <f t="shared" si="101"/>
        <v>II</v>
      </c>
      <c r="AA365" s="796" t="s">
        <v>814</v>
      </c>
      <c r="AB365" s="796" t="str">
        <f t="shared" si="102"/>
        <v>II</v>
      </c>
      <c r="AC365" s="796" t="s">
        <v>815</v>
      </c>
      <c r="AD365" s="796" t="str">
        <f t="shared" si="103"/>
        <v>III</v>
      </c>
      <c r="AE365" s="796" t="s">
        <v>816</v>
      </c>
      <c r="AF365" s="796" t="str">
        <f t="shared" si="104"/>
        <v>I</v>
      </c>
      <c r="AG365" s="796"/>
      <c r="AH365" s="796"/>
      <c r="AI365" s="796"/>
      <c r="AJ365" s="796"/>
      <c r="AK365" s="796"/>
      <c r="AL365" s="796"/>
      <c r="AM365" s="796"/>
      <c r="AN365" s="796"/>
      <c r="AO365" s="796"/>
      <c r="AP365" s="796"/>
      <c r="AQ365" s="796"/>
      <c r="AR365" s="796"/>
      <c r="AS365" s="796"/>
      <c r="AT365" s="796"/>
      <c r="AU365" s="796"/>
      <c r="AV365" s="796"/>
      <c r="AW365" s="796"/>
      <c r="AX365" s="796"/>
      <c r="AY365" s="796"/>
      <c r="AZ365" s="796"/>
      <c r="BA365" s="796"/>
      <c r="BB365" s="796"/>
      <c r="BC365" s="796"/>
      <c r="BD365" s="796"/>
      <c r="BE365" s="796"/>
      <c r="BF365" s="796"/>
      <c r="BG365" s="796"/>
      <c r="BH365" s="796"/>
      <c r="BI365" s="796"/>
      <c r="BJ365" s="796"/>
      <c r="BK365" s="796"/>
      <c r="BL365" s="796"/>
    </row>
    <row r="366" spans="1:64" ht="15" customHeight="1">
      <c r="A366" s="796" t="s">
        <v>817</v>
      </c>
      <c r="B366" s="795" t="str">
        <f t="shared" si="85"/>
        <v>III</v>
      </c>
      <c r="C366" s="796" t="s">
        <v>818</v>
      </c>
      <c r="D366" s="795" t="str">
        <f t="shared" si="86"/>
        <v>VI</v>
      </c>
      <c r="G366" s="796" t="s">
        <v>819</v>
      </c>
      <c r="H366" s="795" t="str">
        <f t="shared" si="98"/>
        <v>II</v>
      </c>
      <c r="M366" s="796" t="s">
        <v>820</v>
      </c>
      <c r="N366" s="796" t="str">
        <f t="shared" si="99"/>
        <v>I</v>
      </c>
      <c r="Q366" s="796" t="s">
        <v>821</v>
      </c>
      <c r="R366" s="796" t="str">
        <f t="shared" si="90"/>
        <v>I</v>
      </c>
      <c r="S366" s="796" t="s">
        <v>822</v>
      </c>
      <c r="T366" s="796" t="str">
        <f t="shared" si="91"/>
        <v>II</v>
      </c>
      <c r="U366" s="796" t="s">
        <v>823</v>
      </c>
      <c r="V366" s="796" t="str">
        <f t="shared" si="100"/>
        <v>III</v>
      </c>
      <c r="W366" s="796" t="s">
        <v>824</v>
      </c>
      <c r="X366" s="796" t="str">
        <f t="shared" si="93"/>
        <v>II</v>
      </c>
      <c r="Y366" s="796" t="s">
        <v>825</v>
      </c>
      <c r="Z366" s="796" t="str">
        <f t="shared" si="101"/>
        <v>I</v>
      </c>
      <c r="AA366" s="796" t="s">
        <v>826</v>
      </c>
      <c r="AB366" s="796" t="str">
        <f t="shared" si="102"/>
        <v>II</v>
      </c>
      <c r="AC366" s="796" t="s">
        <v>827</v>
      </c>
      <c r="AD366" s="796" t="str">
        <f t="shared" si="103"/>
        <v>III</v>
      </c>
      <c r="AE366" s="796" t="s">
        <v>828</v>
      </c>
      <c r="AF366" s="796" t="str">
        <f t="shared" si="104"/>
        <v>II</v>
      </c>
      <c r="AG366" s="796"/>
      <c r="AH366" s="796"/>
      <c r="AI366" s="796"/>
      <c r="AJ366" s="796"/>
      <c r="AK366" s="796"/>
      <c r="AL366" s="796"/>
      <c r="AM366" s="796"/>
      <c r="AN366" s="796"/>
      <c r="AO366" s="796"/>
      <c r="AP366" s="796"/>
      <c r="AQ366" s="796"/>
      <c r="AR366" s="796"/>
      <c r="AS366" s="796"/>
      <c r="AT366" s="796"/>
      <c r="AU366" s="796"/>
      <c r="AV366" s="796"/>
      <c r="AW366" s="796"/>
      <c r="AX366" s="796"/>
      <c r="AY366" s="796"/>
      <c r="AZ366" s="796"/>
      <c r="BA366" s="796"/>
      <c r="BB366" s="796"/>
      <c r="BC366" s="796"/>
      <c r="BD366" s="796"/>
      <c r="BE366" s="796"/>
      <c r="BF366" s="796"/>
      <c r="BG366" s="796"/>
      <c r="BH366" s="796"/>
      <c r="BI366" s="796"/>
      <c r="BJ366" s="796"/>
      <c r="BK366" s="796"/>
      <c r="BL366" s="796"/>
    </row>
    <row r="367" spans="1:64" ht="15" customHeight="1">
      <c r="A367" s="796" t="s">
        <v>829</v>
      </c>
      <c r="B367" s="795" t="str">
        <f t="shared" si="85"/>
        <v>II</v>
      </c>
      <c r="C367" s="796" t="s">
        <v>830</v>
      </c>
      <c r="D367" s="795" t="str">
        <f t="shared" si="86"/>
        <v>VII</v>
      </c>
      <c r="G367" s="796" t="s">
        <v>831</v>
      </c>
      <c r="H367" s="795" t="str">
        <f t="shared" si="98"/>
        <v>II</v>
      </c>
      <c r="M367" s="796" t="s">
        <v>832</v>
      </c>
      <c r="N367" s="796" t="str">
        <f t="shared" si="99"/>
        <v>I</v>
      </c>
      <c r="Q367" s="796" t="s">
        <v>833</v>
      </c>
      <c r="R367" s="796" t="str">
        <f t="shared" si="90"/>
        <v>I</v>
      </c>
      <c r="S367" s="796" t="s">
        <v>834</v>
      </c>
      <c r="T367" s="796" t="str">
        <f t="shared" si="91"/>
        <v>IV</v>
      </c>
      <c r="U367" s="796" t="s">
        <v>835</v>
      </c>
      <c r="V367" s="796" t="str">
        <f t="shared" si="100"/>
        <v>II</v>
      </c>
      <c r="W367" s="796" t="s">
        <v>836</v>
      </c>
      <c r="X367" s="796" t="str">
        <f t="shared" si="93"/>
        <v>II</v>
      </c>
      <c r="Y367" s="796" t="s">
        <v>837</v>
      </c>
      <c r="Z367" s="796" t="str">
        <f t="shared" si="101"/>
        <v>II</v>
      </c>
      <c r="AA367" s="796" t="s">
        <v>838</v>
      </c>
      <c r="AB367" s="796" t="str">
        <f t="shared" si="102"/>
        <v>II</v>
      </c>
      <c r="AC367" s="796" t="s">
        <v>839</v>
      </c>
      <c r="AD367" s="796" t="str">
        <f t="shared" si="103"/>
        <v>III</v>
      </c>
      <c r="AE367" s="796" t="s">
        <v>840</v>
      </c>
      <c r="AF367" s="796" t="str">
        <f t="shared" si="104"/>
        <v>II</v>
      </c>
      <c r="AG367" s="796"/>
      <c r="AH367" s="796"/>
      <c r="AI367" s="796"/>
      <c r="AJ367" s="796"/>
      <c r="AK367" s="796"/>
      <c r="AL367" s="796"/>
      <c r="AM367" s="796"/>
      <c r="AN367" s="796"/>
      <c r="AO367" s="796"/>
      <c r="AP367" s="796"/>
      <c r="AQ367" s="796"/>
      <c r="AR367" s="796"/>
      <c r="AS367" s="796"/>
      <c r="AT367" s="796"/>
      <c r="AU367" s="796"/>
      <c r="AV367" s="796"/>
      <c r="AW367" s="796"/>
      <c r="AX367" s="796"/>
      <c r="AY367" s="796"/>
      <c r="AZ367" s="796"/>
      <c r="BA367" s="796"/>
      <c r="BB367" s="796"/>
      <c r="BC367" s="796"/>
      <c r="BD367" s="796"/>
      <c r="BE367" s="796"/>
      <c r="BF367" s="796"/>
      <c r="BG367" s="796"/>
      <c r="BH367" s="796"/>
      <c r="BI367" s="796"/>
      <c r="BJ367" s="796"/>
      <c r="BK367" s="796"/>
      <c r="BL367" s="796"/>
    </row>
    <row r="368" spans="1:64" ht="15" customHeight="1">
      <c r="A368" s="796" t="s">
        <v>841</v>
      </c>
      <c r="B368" s="795" t="str">
        <f t="shared" si="85"/>
        <v>V</v>
      </c>
      <c r="C368" s="796" t="s">
        <v>842</v>
      </c>
      <c r="D368" s="795" t="str">
        <f t="shared" si="86"/>
        <v>III</v>
      </c>
      <c r="G368" s="796" t="s">
        <v>843</v>
      </c>
      <c r="H368" s="795" t="str">
        <f t="shared" si="98"/>
        <v>I</v>
      </c>
      <c r="M368" s="796" t="s">
        <v>844</v>
      </c>
      <c r="N368" s="796" t="str">
        <f t="shared" si="99"/>
        <v>I</v>
      </c>
      <c r="Q368" s="796" t="s">
        <v>845</v>
      </c>
      <c r="R368" s="796" t="str">
        <f t="shared" si="90"/>
        <v>II</v>
      </c>
      <c r="S368" s="796" t="s">
        <v>846</v>
      </c>
      <c r="T368" s="796" t="str">
        <f t="shared" si="91"/>
        <v>III</v>
      </c>
      <c r="U368" s="796" t="s">
        <v>847</v>
      </c>
      <c r="V368" s="796" t="str">
        <f t="shared" si="100"/>
        <v>I</v>
      </c>
      <c r="W368" s="796" t="s">
        <v>848</v>
      </c>
      <c r="X368" s="796" t="str">
        <f t="shared" si="93"/>
        <v>I</v>
      </c>
      <c r="Y368" s="796" t="s">
        <v>849</v>
      </c>
      <c r="Z368" s="796" t="str">
        <f t="shared" si="101"/>
        <v>I</v>
      </c>
      <c r="AA368" s="796" t="s">
        <v>850</v>
      </c>
      <c r="AB368" s="796">
        <f t="shared" si="102"/>
        <v>0</v>
      </c>
      <c r="AC368" s="796" t="s">
        <v>851</v>
      </c>
      <c r="AD368" s="796" t="str">
        <f t="shared" si="103"/>
        <v>III</v>
      </c>
      <c r="AE368" s="796" t="s">
        <v>852</v>
      </c>
      <c r="AF368" s="796" t="str">
        <f t="shared" si="104"/>
        <v>I</v>
      </c>
      <c r="AG368" s="796"/>
      <c r="AH368" s="796"/>
      <c r="AI368" s="796"/>
      <c r="AJ368" s="796"/>
      <c r="AK368" s="796"/>
      <c r="AL368" s="796"/>
      <c r="AM368" s="796"/>
      <c r="AN368" s="796"/>
      <c r="AO368" s="796"/>
      <c r="AP368" s="796"/>
      <c r="AQ368" s="796"/>
      <c r="AR368" s="796"/>
      <c r="AS368" s="796"/>
      <c r="AT368" s="796"/>
      <c r="AU368" s="796"/>
      <c r="AV368" s="796"/>
      <c r="AW368" s="796"/>
      <c r="AX368" s="796"/>
      <c r="AY368" s="796"/>
      <c r="AZ368" s="796"/>
      <c r="BA368" s="796"/>
      <c r="BB368" s="796"/>
      <c r="BC368" s="796"/>
      <c r="BD368" s="796"/>
      <c r="BE368" s="796"/>
      <c r="BF368" s="796"/>
      <c r="BG368" s="796"/>
      <c r="BH368" s="796"/>
      <c r="BI368" s="796"/>
      <c r="BJ368" s="796"/>
      <c r="BK368" s="796"/>
      <c r="BL368" s="796"/>
    </row>
    <row r="369" spans="1:64" ht="15" customHeight="1">
      <c r="A369" s="796" t="s">
        <v>853</v>
      </c>
      <c r="B369" s="795" t="str">
        <f t="shared" si="85"/>
        <v>IV</v>
      </c>
      <c r="C369" s="796" t="s">
        <v>854</v>
      </c>
      <c r="D369" s="795" t="str">
        <f t="shared" si="86"/>
        <v>II</v>
      </c>
      <c r="G369" s="796" t="s">
        <v>855</v>
      </c>
      <c r="H369" s="795" t="str">
        <f t="shared" si="98"/>
        <v>II</v>
      </c>
      <c r="M369" s="796" t="s">
        <v>856</v>
      </c>
      <c r="N369" s="796" t="str">
        <f t="shared" si="99"/>
        <v>V</v>
      </c>
      <c r="Q369" s="796" t="s">
        <v>857</v>
      </c>
      <c r="R369" s="796" t="str">
        <f t="shared" si="90"/>
        <v>I</v>
      </c>
      <c r="S369" s="796" t="s">
        <v>858</v>
      </c>
      <c r="T369" s="796" t="str">
        <f t="shared" si="91"/>
        <v>I</v>
      </c>
      <c r="U369" s="796" t="s">
        <v>859</v>
      </c>
      <c r="V369" s="796" t="str">
        <f t="shared" si="100"/>
        <v>I</v>
      </c>
      <c r="W369" s="796" t="s">
        <v>860</v>
      </c>
      <c r="X369" s="796" t="str">
        <f t="shared" si="93"/>
        <v>I</v>
      </c>
      <c r="Y369" s="796" t="s">
        <v>861</v>
      </c>
      <c r="Z369" s="796" t="str">
        <f t="shared" si="101"/>
        <v>I</v>
      </c>
      <c r="AA369" s="796" t="s">
        <v>862</v>
      </c>
      <c r="AB369" s="796" t="str">
        <f t="shared" si="102"/>
        <v>I</v>
      </c>
      <c r="AC369" s="796" t="s">
        <v>863</v>
      </c>
      <c r="AD369" s="796" t="str">
        <f t="shared" si="103"/>
        <v>II</v>
      </c>
      <c r="AE369" s="796" t="s">
        <v>864</v>
      </c>
      <c r="AF369" s="796" t="str">
        <f t="shared" si="104"/>
        <v>II</v>
      </c>
      <c r="AG369" s="796"/>
      <c r="AH369" s="796"/>
      <c r="AI369" s="796"/>
      <c r="AJ369" s="796"/>
      <c r="AK369" s="796"/>
      <c r="AL369" s="796"/>
      <c r="AM369" s="796"/>
      <c r="AN369" s="796"/>
      <c r="AO369" s="796"/>
      <c r="AP369" s="796"/>
      <c r="AQ369" s="796"/>
      <c r="AR369" s="796"/>
      <c r="AS369" s="796"/>
      <c r="AT369" s="796"/>
      <c r="AU369" s="796"/>
      <c r="AV369" s="796"/>
      <c r="AW369" s="796"/>
      <c r="AX369" s="796"/>
      <c r="AY369" s="796"/>
      <c r="AZ369" s="796"/>
      <c r="BA369" s="796"/>
      <c r="BB369" s="796"/>
      <c r="BC369" s="796"/>
      <c r="BD369" s="796"/>
      <c r="BE369" s="796"/>
      <c r="BF369" s="796"/>
      <c r="BG369" s="796"/>
      <c r="BH369" s="796"/>
      <c r="BI369" s="796"/>
      <c r="BJ369" s="796"/>
      <c r="BK369" s="796"/>
      <c r="BL369" s="796"/>
    </row>
    <row r="370" spans="1:64" ht="15" customHeight="1">
      <c r="A370" s="796" t="s">
        <v>865</v>
      </c>
      <c r="B370" s="795" t="str">
        <f t="shared" si="85"/>
        <v>V</v>
      </c>
      <c r="C370" s="796" t="s">
        <v>866</v>
      </c>
      <c r="D370" s="795" t="str">
        <f t="shared" si="86"/>
        <v>VII</v>
      </c>
      <c r="G370" s="796" t="s">
        <v>867</v>
      </c>
      <c r="H370" s="795" t="str">
        <f t="shared" si="98"/>
        <v>III</v>
      </c>
      <c r="M370" s="796" t="s">
        <v>868</v>
      </c>
      <c r="N370" s="796" t="str">
        <f t="shared" si="99"/>
        <v>I</v>
      </c>
      <c r="Q370" s="796" t="s">
        <v>869</v>
      </c>
      <c r="R370" s="796" t="str">
        <f t="shared" si="90"/>
        <v>II</v>
      </c>
      <c r="S370" s="796" t="s">
        <v>870</v>
      </c>
      <c r="T370" s="796" t="str">
        <f t="shared" si="91"/>
        <v>I</v>
      </c>
      <c r="U370" s="796" t="s">
        <v>871</v>
      </c>
      <c r="V370" s="796" t="str">
        <f t="shared" si="100"/>
        <v>I</v>
      </c>
      <c r="Y370" s="796" t="s">
        <v>872</v>
      </c>
      <c r="Z370" s="796" t="str">
        <f t="shared" si="101"/>
        <v>III</v>
      </c>
      <c r="AA370" s="796" t="s">
        <v>873</v>
      </c>
      <c r="AB370" s="796" t="str">
        <f t="shared" si="102"/>
        <v>II</v>
      </c>
      <c r="AC370" s="796" t="s">
        <v>874</v>
      </c>
      <c r="AD370" s="796" t="str">
        <f t="shared" si="103"/>
        <v>VI</v>
      </c>
      <c r="AE370" s="796" t="s">
        <v>875</v>
      </c>
      <c r="AF370" s="796" t="str">
        <f t="shared" si="104"/>
        <v>I</v>
      </c>
      <c r="AG370" s="796"/>
      <c r="AH370" s="796"/>
      <c r="AI370" s="796"/>
      <c r="AJ370" s="796"/>
      <c r="AK370" s="796"/>
      <c r="AL370" s="796"/>
      <c r="AM370" s="796"/>
      <c r="AN370" s="796"/>
      <c r="AO370" s="796"/>
      <c r="AP370" s="796"/>
      <c r="AQ370" s="796"/>
      <c r="AR370" s="796"/>
      <c r="AS370" s="796"/>
      <c r="AT370" s="796"/>
      <c r="AU370" s="796"/>
      <c r="AV370" s="796"/>
      <c r="AW370" s="796"/>
      <c r="AX370" s="796"/>
      <c r="AY370" s="796"/>
      <c r="AZ370" s="796"/>
      <c r="BA370" s="796"/>
      <c r="BB370" s="796"/>
      <c r="BC370" s="796"/>
      <c r="BD370" s="796"/>
      <c r="BE370" s="796"/>
      <c r="BF370" s="796"/>
      <c r="BG370" s="796"/>
      <c r="BH370" s="796"/>
      <c r="BI370" s="796"/>
      <c r="BJ370" s="796"/>
      <c r="BK370" s="796"/>
      <c r="BL370" s="796"/>
    </row>
    <row r="371" spans="1:64" ht="15" customHeight="1">
      <c r="A371" s="796" t="s">
        <v>876</v>
      </c>
      <c r="B371" s="795" t="str">
        <f t="shared" si="85"/>
        <v>II</v>
      </c>
      <c r="C371" s="796" t="s">
        <v>877</v>
      </c>
      <c r="D371" s="795" t="str">
        <f t="shared" si="86"/>
        <v>III</v>
      </c>
      <c r="G371" s="796" t="s">
        <v>878</v>
      </c>
      <c r="H371" s="795" t="str">
        <f t="shared" si="98"/>
        <v>V</v>
      </c>
      <c r="M371" s="796" t="s">
        <v>49</v>
      </c>
      <c r="N371" s="796" t="str">
        <f t="shared" si="99"/>
        <v>VI</v>
      </c>
      <c r="Q371" s="796" t="s">
        <v>879</v>
      </c>
      <c r="R371" s="796" t="str">
        <f t="shared" si="90"/>
        <v>II</v>
      </c>
      <c r="S371" s="796" t="s">
        <v>880</v>
      </c>
      <c r="T371" s="796" t="str">
        <f t="shared" si="91"/>
        <v>II</v>
      </c>
      <c r="U371" s="796" t="s">
        <v>881</v>
      </c>
      <c r="V371" s="796" t="str">
        <f t="shared" si="100"/>
        <v>I</v>
      </c>
      <c r="Y371" s="796" t="s">
        <v>882</v>
      </c>
      <c r="Z371" s="796" t="str">
        <f t="shared" si="101"/>
        <v>II</v>
      </c>
      <c r="AA371" s="796" t="s">
        <v>883</v>
      </c>
      <c r="AB371" s="796" t="str">
        <f t="shared" si="102"/>
        <v>II</v>
      </c>
      <c r="AC371" s="796" t="s">
        <v>884</v>
      </c>
      <c r="AD371" s="796" t="str">
        <f t="shared" si="103"/>
        <v>V</v>
      </c>
      <c r="AE371" s="796" t="s">
        <v>885</v>
      </c>
      <c r="AF371" s="796" t="str">
        <f t="shared" si="104"/>
        <v>III</v>
      </c>
      <c r="AG371" s="796"/>
      <c r="AH371" s="796"/>
      <c r="AI371" s="796"/>
      <c r="AJ371" s="796"/>
      <c r="AK371" s="796"/>
      <c r="AL371" s="796"/>
      <c r="AM371" s="796"/>
      <c r="AN371" s="796"/>
      <c r="AO371" s="796"/>
      <c r="AP371" s="796"/>
      <c r="AQ371" s="796"/>
      <c r="AR371" s="796"/>
      <c r="AS371" s="796"/>
      <c r="AT371" s="796"/>
      <c r="AU371" s="796"/>
      <c r="AV371" s="796"/>
      <c r="AW371" s="796"/>
      <c r="AX371" s="796"/>
      <c r="AY371" s="796"/>
      <c r="AZ371" s="796"/>
      <c r="BA371" s="796"/>
      <c r="BB371" s="796"/>
      <c r="BC371" s="796"/>
      <c r="BD371" s="796"/>
      <c r="BE371" s="796"/>
      <c r="BF371" s="796"/>
      <c r="BG371" s="796"/>
      <c r="BH371" s="796"/>
      <c r="BI371" s="796"/>
      <c r="BJ371" s="796"/>
      <c r="BK371" s="796"/>
      <c r="BL371" s="796"/>
    </row>
    <row r="372" spans="1:64" ht="15" customHeight="1">
      <c r="A372" s="796" t="s">
        <v>886</v>
      </c>
      <c r="B372" s="795" t="str">
        <f t="shared" si="85"/>
        <v>II</v>
      </c>
      <c r="C372" s="796" t="s">
        <v>887</v>
      </c>
      <c r="D372" s="795" t="str">
        <f t="shared" si="86"/>
        <v>VI</v>
      </c>
      <c r="G372" s="796" t="s">
        <v>888</v>
      </c>
      <c r="H372" s="795" t="str">
        <f t="shared" si="98"/>
        <v>IV</v>
      </c>
      <c r="M372" s="796" t="s">
        <v>889</v>
      </c>
      <c r="N372" s="796" t="str">
        <f t="shared" si="99"/>
        <v>II</v>
      </c>
      <c r="Q372" s="796" t="s">
        <v>890</v>
      </c>
      <c r="R372" s="796" t="str">
        <f t="shared" si="90"/>
        <v>I</v>
      </c>
      <c r="S372" s="796" t="s">
        <v>769</v>
      </c>
      <c r="T372" s="796" t="str">
        <f t="shared" si="91"/>
        <v>V</v>
      </c>
      <c r="U372" s="796" t="s">
        <v>891</v>
      </c>
      <c r="V372" s="796" t="str">
        <f t="shared" si="100"/>
        <v>II</v>
      </c>
      <c r="Y372" s="796" t="s">
        <v>892</v>
      </c>
      <c r="Z372" s="796" t="str">
        <f t="shared" si="101"/>
        <v>I</v>
      </c>
      <c r="AA372" s="796" t="s">
        <v>893</v>
      </c>
      <c r="AB372" s="796" t="str">
        <f t="shared" si="102"/>
        <v>II</v>
      </c>
      <c r="AC372" s="796" t="s">
        <v>894</v>
      </c>
      <c r="AD372" s="796" t="str">
        <f t="shared" si="103"/>
        <v>III</v>
      </c>
      <c r="AE372" s="796" t="s">
        <v>895</v>
      </c>
      <c r="AF372" s="796" t="str">
        <f t="shared" si="104"/>
        <v>II</v>
      </c>
      <c r="AG372" s="796"/>
      <c r="AH372" s="796"/>
      <c r="AI372" s="796"/>
      <c r="AJ372" s="796"/>
      <c r="AK372" s="796"/>
      <c r="AL372" s="796"/>
      <c r="AM372" s="796"/>
      <c r="AN372" s="796"/>
      <c r="AO372" s="796"/>
      <c r="AP372" s="796"/>
      <c r="AQ372" s="796"/>
      <c r="AR372" s="796"/>
      <c r="AS372" s="796"/>
      <c r="AT372" s="796"/>
      <c r="AU372" s="796"/>
      <c r="AV372" s="796"/>
      <c r="AW372" s="796"/>
      <c r="AX372" s="796"/>
      <c r="AY372" s="796"/>
      <c r="AZ372" s="796"/>
      <c r="BA372" s="796"/>
      <c r="BB372" s="796"/>
      <c r="BC372" s="796"/>
      <c r="BD372" s="796"/>
      <c r="BE372" s="796"/>
      <c r="BF372" s="796"/>
      <c r="BG372" s="796"/>
      <c r="BH372" s="796"/>
      <c r="BI372" s="796"/>
      <c r="BJ372" s="796"/>
      <c r="BK372" s="796"/>
      <c r="BL372" s="796"/>
    </row>
    <row r="373" spans="1:64" ht="15" customHeight="1">
      <c r="A373" s="796" t="s">
        <v>896</v>
      </c>
      <c r="B373" s="795" t="str">
        <f t="shared" si="85"/>
        <v>VI</v>
      </c>
      <c r="C373" s="796" t="s">
        <v>897</v>
      </c>
      <c r="D373" s="795" t="str">
        <f t="shared" si="86"/>
        <v>III</v>
      </c>
      <c r="G373" s="796" t="s">
        <v>898</v>
      </c>
      <c r="H373" s="795" t="str">
        <f t="shared" si="98"/>
        <v>III</v>
      </c>
      <c r="M373" s="796" t="s">
        <v>899</v>
      </c>
      <c r="N373" s="796" t="str">
        <f t="shared" si="99"/>
        <v>IV</v>
      </c>
      <c r="Q373" s="796" t="s">
        <v>900</v>
      </c>
      <c r="R373" s="796" t="str">
        <f t="shared" si="90"/>
        <v>II</v>
      </c>
      <c r="S373" s="796" t="s">
        <v>901</v>
      </c>
      <c r="T373" s="796" t="str">
        <f t="shared" si="91"/>
        <v>II</v>
      </c>
      <c r="U373" s="796" t="s">
        <v>902</v>
      </c>
      <c r="V373" s="796" t="str">
        <f t="shared" si="100"/>
        <v>III</v>
      </c>
      <c r="Y373" s="796" t="s">
        <v>903</v>
      </c>
      <c r="Z373" s="796" t="str">
        <f t="shared" si="101"/>
        <v>II</v>
      </c>
      <c r="AA373" s="796" t="s">
        <v>904</v>
      </c>
      <c r="AB373" s="796" t="str">
        <f t="shared" si="102"/>
        <v>II</v>
      </c>
      <c r="AC373" s="796" t="s">
        <v>905</v>
      </c>
      <c r="AD373" s="796" t="str">
        <f t="shared" si="103"/>
        <v>V</v>
      </c>
      <c r="AE373" s="796" t="s">
        <v>906</v>
      </c>
      <c r="AF373" s="796" t="str">
        <f t="shared" si="104"/>
        <v>I</v>
      </c>
      <c r="AG373" s="796"/>
      <c r="AH373" s="796"/>
      <c r="AI373" s="796"/>
      <c r="AJ373" s="796"/>
      <c r="AK373" s="796"/>
      <c r="AL373" s="796"/>
      <c r="AM373" s="796"/>
      <c r="AN373" s="796"/>
      <c r="AO373" s="796"/>
      <c r="AP373" s="796"/>
      <c r="AQ373" s="796"/>
      <c r="AR373" s="796"/>
      <c r="AS373" s="796"/>
      <c r="AT373" s="796"/>
      <c r="AU373" s="796"/>
      <c r="AV373" s="796"/>
      <c r="AW373" s="796"/>
      <c r="AX373" s="796"/>
      <c r="AY373" s="796"/>
      <c r="AZ373" s="796"/>
      <c r="BA373" s="796"/>
      <c r="BB373" s="796"/>
      <c r="BC373" s="796"/>
      <c r="BD373" s="796"/>
      <c r="BE373" s="796"/>
      <c r="BF373" s="796"/>
      <c r="BG373" s="796"/>
      <c r="BH373" s="796"/>
      <c r="BI373" s="796"/>
      <c r="BJ373" s="796"/>
      <c r="BK373" s="796"/>
      <c r="BL373" s="796"/>
    </row>
    <row r="374" spans="1:64" ht="15" customHeight="1">
      <c r="A374" s="796" t="s">
        <v>907</v>
      </c>
      <c r="B374" s="795" t="str">
        <f t="shared" si="85"/>
        <v>III</v>
      </c>
      <c r="C374" s="796" t="s">
        <v>908</v>
      </c>
      <c r="D374" s="795" t="str">
        <f t="shared" si="86"/>
        <v>IV</v>
      </c>
      <c r="G374" s="796" t="s">
        <v>909</v>
      </c>
      <c r="H374" s="795" t="str">
        <f t="shared" si="98"/>
        <v>IV</v>
      </c>
      <c r="M374" s="796" t="s">
        <v>910</v>
      </c>
      <c r="N374" s="796" t="str">
        <f t="shared" si="99"/>
        <v>V</v>
      </c>
      <c r="Q374" s="796" t="s">
        <v>911</v>
      </c>
      <c r="R374" s="796" t="str">
        <f t="shared" si="90"/>
        <v>I</v>
      </c>
      <c r="S374" s="796" t="s">
        <v>912</v>
      </c>
      <c r="T374" s="796" t="str">
        <f t="shared" si="91"/>
        <v>II</v>
      </c>
      <c r="U374" s="796" t="s">
        <v>913</v>
      </c>
      <c r="V374" s="796" t="str">
        <f t="shared" si="100"/>
        <v>III</v>
      </c>
      <c r="Y374" s="796" t="s">
        <v>914</v>
      </c>
      <c r="Z374" s="796" t="str">
        <f t="shared" si="101"/>
        <v>II</v>
      </c>
      <c r="AA374" s="796" t="s">
        <v>915</v>
      </c>
      <c r="AB374" s="796" t="str">
        <f t="shared" si="102"/>
        <v>II</v>
      </c>
      <c r="AC374" s="796" t="s">
        <v>916</v>
      </c>
      <c r="AD374" s="796" t="str">
        <f t="shared" si="103"/>
        <v>IV</v>
      </c>
      <c r="AG374" s="796"/>
      <c r="AH374" s="796"/>
      <c r="AI374" s="796"/>
      <c r="AJ374" s="796"/>
      <c r="AK374" s="796"/>
      <c r="AL374" s="796"/>
      <c r="AM374" s="796"/>
      <c r="AN374" s="796"/>
      <c r="AO374" s="796"/>
      <c r="AP374" s="796"/>
      <c r="AQ374" s="796"/>
      <c r="AR374" s="796"/>
      <c r="AS374" s="796"/>
      <c r="AT374" s="796"/>
      <c r="AU374" s="796"/>
      <c r="AV374" s="796"/>
      <c r="AW374" s="796"/>
      <c r="AX374" s="796"/>
      <c r="AY374" s="796"/>
      <c r="AZ374" s="796"/>
      <c r="BA374" s="796"/>
      <c r="BB374" s="796"/>
      <c r="BC374" s="796"/>
      <c r="BD374" s="796"/>
      <c r="BE374" s="796"/>
      <c r="BF374" s="796"/>
      <c r="BG374" s="796"/>
      <c r="BH374" s="796"/>
      <c r="BI374" s="796"/>
      <c r="BJ374" s="796"/>
      <c r="BK374" s="796"/>
      <c r="BL374" s="796"/>
    </row>
    <row r="375" spans="1:64" ht="15" customHeight="1">
      <c r="A375" s="796" t="s">
        <v>917</v>
      </c>
      <c r="B375" s="795" t="str">
        <f t="shared" si="85"/>
        <v>II</v>
      </c>
      <c r="C375" s="796" t="s">
        <v>918</v>
      </c>
      <c r="D375" s="795" t="str">
        <f t="shared" si="86"/>
        <v>II</v>
      </c>
      <c r="G375" s="796" t="s">
        <v>919</v>
      </c>
      <c r="H375" s="795" t="str">
        <f t="shared" si="98"/>
        <v>II</v>
      </c>
      <c r="M375" s="796" t="s">
        <v>920</v>
      </c>
      <c r="N375" s="796" t="str">
        <f t="shared" si="99"/>
        <v>I</v>
      </c>
      <c r="Q375" s="796" t="s">
        <v>921</v>
      </c>
      <c r="R375" s="796" t="str">
        <f t="shared" si="90"/>
        <v>I</v>
      </c>
      <c r="S375" s="796" t="s">
        <v>922</v>
      </c>
      <c r="T375" s="796" t="str">
        <f t="shared" si="91"/>
        <v>I</v>
      </c>
      <c r="U375" s="796" t="s">
        <v>923</v>
      </c>
      <c r="V375" s="796" t="str">
        <f t="shared" si="100"/>
        <v>IV</v>
      </c>
      <c r="Y375" s="796" t="s">
        <v>924</v>
      </c>
      <c r="Z375" s="796" t="str">
        <f t="shared" si="101"/>
        <v>I</v>
      </c>
      <c r="AA375" s="796" t="s">
        <v>925</v>
      </c>
      <c r="AB375" s="796" t="str">
        <f t="shared" si="102"/>
        <v>II</v>
      </c>
      <c r="AC375" s="796" t="s">
        <v>926</v>
      </c>
      <c r="AD375" s="796" t="str">
        <f t="shared" si="103"/>
        <v>III</v>
      </c>
      <c r="AG375" s="796"/>
      <c r="AH375" s="796"/>
      <c r="AI375" s="796"/>
      <c r="AJ375" s="796"/>
      <c r="AK375" s="796"/>
      <c r="AL375" s="796"/>
      <c r="AM375" s="796"/>
      <c r="AN375" s="796"/>
      <c r="AO375" s="796"/>
      <c r="AP375" s="796"/>
      <c r="AQ375" s="796"/>
      <c r="AR375" s="796"/>
      <c r="AS375" s="796"/>
      <c r="AT375" s="796"/>
      <c r="AU375" s="796"/>
      <c r="AV375" s="796"/>
      <c r="AW375" s="796"/>
      <c r="AX375" s="796"/>
      <c r="AY375" s="796"/>
      <c r="AZ375" s="796"/>
      <c r="BA375" s="796"/>
      <c r="BB375" s="796"/>
      <c r="BC375" s="796"/>
      <c r="BD375" s="796"/>
      <c r="BE375" s="796"/>
      <c r="BF375" s="796"/>
      <c r="BG375" s="796"/>
      <c r="BH375" s="796"/>
      <c r="BI375" s="796"/>
      <c r="BJ375" s="796"/>
      <c r="BK375" s="796"/>
      <c r="BL375" s="796"/>
    </row>
    <row r="376" spans="1:64" ht="15" customHeight="1">
      <c r="A376" s="796" t="s">
        <v>927</v>
      </c>
      <c r="B376" s="795" t="str">
        <f t="shared" si="85"/>
        <v>IV</v>
      </c>
      <c r="C376" s="796" t="s">
        <v>928</v>
      </c>
      <c r="D376" s="795" t="str">
        <f t="shared" si="86"/>
        <v>II</v>
      </c>
      <c r="G376" s="796" t="s">
        <v>929</v>
      </c>
      <c r="H376" s="795" t="str">
        <f t="shared" si="98"/>
        <v>III</v>
      </c>
      <c r="M376" s="796" t="s">
        <v>930</v>
      </c>
      <c r="N376" s="796" t="str">
        <f t="shared" si="99"/>
        <v>II</v>
      </c>
      <c r="Q376" s="796" t="s">
        <v>931</v>
      </c>
      <c r="R376" s="796" t="str">
        <f t="shared" si="90"/>
        <v>I</v>
      </c>
      <c r="S376" s="796" t="s">
        <v>932</v>
      </c>
      <c r="T376" s="796" t="str">
        <f t="shared" si="91"/>
        <v>IV</v>
      </c>
      <c r="U376" s="796" t="s">
        <v>933</v>
      </c>
      <c r="V376" s="796" t="str">
        <f t="shared" si="100"/>
        <v>VI</v>
      </c>
      <c r="Y376" s="796" t="s">
        <v>934</v>
      </c>
      <c r="Z376" s="796" t="str">
        <f t="shared" si="101"/>
        <v>II</v>
      </c>
      <c r="AA376" s="796" t="s">
        <v>935</v>
      </c>
      <c r="AB376" s="796" t="str">
        <f t="shared" si="102"/>
        <v>III</v>
      </c>
      <c r="AC376" s="796" t="s">
        <v>936</v>
      </c>
      <c r="AD376" s="796" t="str">
        <f t="shared" si="103"/>
        <v>V</v>
      </c>
      <c r="AG376" s="796"/>
      <c r="AH376" s="796"/>
      <c r="AI376" s="796"/>
      <c r="AJ376" s="796"/>
      <c r="AK376" s="796"/>
      <c r="AL376" s="796"/>
      <c r="AM376" s="796"/>
      <c r="AN376" s="796"/>
      <c r="AO376" s="796"/>
      <c r="AP376" s="796"/>
      <c r="AQ376" s="796"/>
      <c r="AR376" s="796"/>
      <c r="AS376" s="796"/>
      <c r="AT376" s="796"/>
      <c r="AU376" s="796"/>
      <c r="AV376" s="796"/>
      <c r="AW376" s="796"/>
      <c r="AX376" s="796"/>
      <c r="AY376" s="796"/>
      <c r="AZ376" s="796"/>
      <c r="BA376" s="796"/>
      <c r="BB376" s="796"/>
      <c r="BC376" s="796"/>
      <c r="BD376" s="796"/>
      <c r="BE376" s="796"/>
      <c r="BF376" s="796"/>
      <c r="BG376" s="796"/>
      <c r="BH376" s="796"/>
      <c r="BI376" s="796"/>
      <c r="BJ376" s="796"/>
      <c r="BK376" s="796"/>
      <c r="BL376" s="796"/>
    </row>
    <row r="377" spans="1:64" ht="15" customHeight="1">
      <c r="A377" s="796" t="s">
        <v>937</v>
      </c>
      <c r="B377" s="795" t="str">
        <f t="shared" si="85"/>
        <v>IV</v>
      </c>
      <c r="C377" s="796" t="s">
        <v>938</v>
      </c>
      <c r="D377" s="795" t="str">
        <f t="shared" si="86"/>
        <v>V</v>
      </c>
      <c r="G377" s="796" t="s">
        <v>939</v>
      </c>
      <c r="H377" s="795" t="str">
        <f t="shared" si="98"/>
        <v>III</v>
      </c>
      <c r="M377" s="796" t="s">
        <v>940</v>
      </c>
      <c r="N377" s="796" t="str">
        <f t="shared" si="99"/>
        <v>II</v>
      </c>
      <c r="Q377" s="796" t="s">
        <v>941</v>
      </c>
      <c r="R377" s="796" t="str">
        <f t="shared" si="90"/>
        <v>I</v>
      </c>
      <c r="S377" s="796" t="s">
        <v>942</v>
      </c>
      <c r="T377" s="796" t="str">
        <f t="shared" si="91"/>
        <v>III</v>
      </c>
      <c r="U377" s="796" t="s">
        <v>943</v>
      </c>
      <c r="V377" s="796" t="str">
        <f t="shared" si="100"/>
        <v>II</v>
      </c>
      <c r="Y377" s="796" t="s">
        <v>944</v>
      </c>
      <c r="Z377" s="796" t="str">
        <f t="shared" si="101"/>
        <v>I</v>
      </c>
      <c r="AA377" s="796" t="s">
        <v>945</v>
      </c>
      <c r="AB377" s="796" t="str">
        <f t="shared" si="102"/>
        <v>II</v>
      </c>
      <c r="AC377" s="796" t="s">
        <v>946</v>
      </c>
      <c r="AD377" s="796" t="str">
        <f t="shared" si="103"/>
        <v>V</v>
      </c>
      <c r="AG377" s="796"/>
      <c r="AH377" s="796"/>
      <c r="AI377" s="796"/>
      <c r="AJ377" s="796"/>
      <c r="AK377" s="796"/>
      <c r="AL377" s="796"/>
      <c r="AM377" s="796"/>
      <c r="AN377" s="796"/>
      <c r="AO377" s="796"/>
      <c r="AP377" s="796"/>
      <c r="AQ377" s="796"/>
      <c r="AR377" s="796"/>
      <c r="AS377" s="796"/>
      <c r="AT377" s="796"/>
      <c r="AU377" s="796"/>
      <c r="AV377" s="796"/>
      <c r="AW377" s="796"/>
      <c r="AX377" s="796"/>
      <c r="AY377" s="796"/>
      <c r="AZ377" s="796"/>
      <c r="BA377" s="796"/>
      <c r="BB377" s="796"/>
      <c r="BC377" s="796"/>
      <c r="BD377" s="796"/>
      <c r="BE377" s="796"/>
      <c r="BF377" s="796"/>
      <c r="BG377" s="796"/>
      <c r="BH377" s="796"/>
      <c r="BI377" s="796"/>
      <c r="BJ377" s="796"/>
      <c r="BK377" s="796"/>
      <c r="BL377" s="796"/>
    </row>
    <row r="378" spans="1:64" ht="15" customHeight="1">
      <c r="A378" s="796" t="s">
        <v>947</v>
      </c>
      <c r="B378" s="795" t="str">
        <f t="shared" si="85"/>
        <v>IV</v>
      </c>
      <c r="C378" s="796" t="s">
        <v>948</v>
      </c>
      <c r="D378" s="795" t="str">
        <f t="shared" si="86"/>
        <v>IV</v>
      </c>
      <c r="G378" s="796" t="s">
        <v>949</v>
      </c>
      <c r="H378" s="795" t="str">
        <f t="shared" si="98"/>
        <v>IV</v>
      </c>
      <c r="M378" s="796" t="s">
        <v>950</v>
      </c>
      <c r="N378" s="796" t="str">
        <f t="shared" si="99"/>
        <v>I</v>
      </c>
      <c r="Q378" s="796" t="s">
        <v>951</v>
      </c>
      <c r="R378" s="796" t="str">
        <f t="shared" si="90"/>
        <v>I</v>
      </c>
      <c r="S378" s="796" t="s">
        <v>952</v>
      </c>
      <c r="T378" s="796" t="str">
        <f t="shared" si="91"/>
        <v>II</v>
      </c>
      <c r="U378" s="796" t="s">
        <v>953</v>
      </c>
      <c r="V378" s="796" t="str">
        <f t="shared" si="100"/>
        <v>II</v>
      </c>
      <c r="Y378" s="796" t="s">
        <v>954</v>
      </c>
      <c r="Z378" s="796" t="str">
        <f t="shared" si="101"/>
        <v>I</v>
      </c>
      <c r="AA378" s="796" t="s">
        <v>955</v>
      </c>
      <c r="AB378" s="796" t="str">
        <f t="shared" si="102"/>
        <v>II</v>
      </c>
      <c r="AC378" s="796" t="s">
        <v>956</v>
      </c>
      <c r="AD378" s="796" t="str">
        <f t="shared" si="103"/>
        <v>III</v>
      </c>
      <c r="AG378" s="796"/>
      <c r="AH378" s="796"/>
      <c r="AI378" s="796"/>
      <c r="AJ378" s="796"/>
      <c r="AK378" s="796"/>
      <c r="AL378" s="796"/>
      <c r="AM378" s="796"/>
      <c r="AN378" s="796"/>
      <c r="AO378" s="796"/>
      <c r="AP378" s="796"/>
      <c r="AQ378" s="796"/>
      <c r="AR378" s="796"/>
      <c r="AS378" s="796"/>
      <c r="AT378" s="796"/>
      <c r="AU378" s="796"/>
      <c r="AV378" s="796"/>
      <c r="AW378" s="796"/>
      <c r="AX378" s="796"/>
      <c r="AY378" s="796"/>
      <c r="AZ378" s="796"/>
      <c r="BA378" s="796"/>
      <c r="BB378" s="796"/>
      <c r="BC378" s="796"/>
      <c r="BD378" s="796"/>
      <c r="BE378" s="796"/>
      <c r="BF378" s="796"/>
      <c r="BG378" s="796"/>
      <c r="BH378" s="796"/>
      <c r="BI378" s="796"/>
      <c r="BJ378" s="796"/>
      <c r="BK378" s="796"/>
      <c r="BL378" s="796"/>
    </row>
    <row r="379" spans="1:64" ht="15" customHeight="1">
      <c r="A379" s="796" t="s">
        <v>957</v>
      </c>
      <c r="B379" s="795" t="str">
        <f t="shared" si="85"/>
        <v>III</v>
      </c>
      <c r="C379" s="796" t="s">
        <v>958</v>
      </c>
      <c r="D379" s="795" t="str">
        <f t="shared" si="86"/>
        <v>II</v>
      </c>
      <c r="G379" s="796" t="s">
        <v>959</v>
      </c>
      <c r="H379" s="795" t="str">
        <f t="shared" si="98"/>
        <v>I</v>
      </c>
      <c r="M379" s="796" t="s">
        <v>960</v>
      </c>
      <c r="N379" s="796" t="str">
        <f t="shared" si="99"/>
        <v>IV</v>
      </c>
      <c r="Q379" s="796" t="s">
        <v>961</v>
      </c>
      <c r="R379" s="796" t="str">
        <f t="shared" si="90"/>
        <v>II</v>
      </c>
      <c r="S379" s="796" t="s">
        <v>962</v>
      </c>
      <c r="T379" s="796" t="str">
        <f t="shared" si="91"/>
        <v>II</v>
      </c>
      <c r="U379" s="796" t="s">
        <v>963</v>
      </c>
      <c r="V379" s="796" t="str">
        <f t="shared" si="100"/>
        <v>I</v>
      </c>
      <c r="Y379" s="796" t="s">
        <v>964</v>
      </c>
      <c r="Z379" s="796" t="str">
        <f t="shared" si="101"/>
        <v>I</v>
      </c>
      <c r="AA379" s="796" t="s">
        <v>965</v>
      </c>
      <c r="AB379" s="796" t="str">
        <f t="shared" si="102"/>
        <v>II</v>
      </c>
      <c r="AC379" s="796" t="s">
        <v>966</v>
      </c>
      <c r="AD379" s="796" t="str">
        <f t="shared" si="103"/>
        <v>IV</v>
      </c>
      <c r="AG379" s="796"/>
      <c r="AH379" s="796"/>
      <c r="AI379" s="796"/>
      <c r="AJ379" s="796"/>
      <c r="AK379" s="796"/>
      <c r="AL379" s="796"/>
      <c r="AM379" s="796"/>
      <c r="AN379" s="796"/>
      <c r="AO379" s="796"/>
      <c r="AP379" s="796"/>
      <c r="AQ379" s="796"/>
      <c r="AR379" s="796"/>
      <c r="AS379" s="796"/>
      <c r="AT379" s="796"/>
      <c r="AU379" s="796"/>
      <c r="AV379" s="796"/>
      <c r="AW379" s="796"/>
      <c r="AX379" s="796"/>
      <c r="AY379" s="796"/>
      <c r="AZ379" s="796"/>
      <c r="BA379" s="796"/>
      <c r="BB379" s="796"/>
      <c r="BC379" s="796"/>
      <c r="BD379" s="796"/>
      <c r="BE379" s="796"/>
      <c r="BF379" s="796"/>
      <c r="BG379" s="796"/>
      <c r="BH379" s="796"/>
      <c r="BI379" s="796"/>
      <c r="BJ379" s="796"/>
      <c r="BK379" s="796"/>
      <c r="BL379" s="796"/>
    </row>
    <row r="380" spans="1:64" ht="15" customHeight="1">
      <c r="A380" s="796" t="s">
        <v>967</v>
      </c>
      <c r="B380" s="795" t="str">
        <f t="shared" si="85"/>
        <v>III</v>
      </c>
      <c r="C380" s="796" t="s">
        <v>968</v>
      </c>
      <c r="D380" s="795" t="str">
        <f t="shared" si="86"/>
        <v>II</v>
      </c>
      <c r="G380" s="796" t="s">
        <v>969</v>
      </c>
      <c r="H380" s="795" t="str">
        <f t="shared" si="98"/>
        <v>III</v>
      </c>
      <c r="M380" s="796" t="s">
        <v>970</v>
      </c>
      <c r="N380" s="796" t="str">
        <f t="shared" si="99"/>
        <v>III</v>
      </c>
      <c r="Q380" s="796" t="s">
        <v>971</v>
      </c>
      <c r="R380" s="796" t="str">
        <f t="shared" si="90"/>
        <v>IV</v>
      </c>
      <c r="S380" s="796" t="s">
        <v>972</v>
      </c>
      <c r="T380" s="796" t="str">
        <f t="shared" si="91"/>
        <v>II</v>
      </c>
      <c r="U380" s="796" t="s">
        <v>973</v>
      </c>
      <c r="V380" s="796" t="str">
        <f t="shared" si="100"/>
        <v>I</v>
      </c>
      <c r="Y380" s="796" t="s">
        <v>974</v>
      </c>
      <c r="Z380" s="796" t="str">
        <f t="shared" si="101"/>
        <v>I</v>
      </c>
      <c r="AA380" s="796" t="s">
        <v>975</v>
      </c>
      <c r="AB380" s="796" t="str">
        <f t="shared" si="102"/>
        <v>I</v>
      </c>
      <c r="AC380" s="796" t="s">
        <v>976</v>
      </c>
      <c r="AD380" s="796" t="str">
        <f t="shared" si="103"/>
        <v>VII</v>
      </c>
      <c r="AG380" s="796"/>
      <c r="AH380" s="796"/>
      <c r="AI380" s="796"/>
      <c r="AJ380" s="796"/>
      <c r="AK380" s="796"/>
      <c r="AL380" s="796"/>
      <c r="AM380" s="796"/>
      <c r="AN380" s="796"/>
      <c r="AO380" s="796"/>
      <c r="AP380" s="796"/>
      <c r="AQ380" s="796"/>
      <c r="AR380" s="796"/>
      <c r="AS380" s="796"/>
      <c r="AT380" s="796"/>
      <c r="AU380" s="796"/>
      <c r="AV380" s="796"/>
      <c r="AW380" s="796"/>
      <c r="AX380" s="796"/>
      <c r="AY380" s="796"/>
      <c r="AZ380" s="796"/>
      <c r="BA380" s="796"/>
      <c r="BB380" s="796"/>
      <c r="BC380" s="796"/>
      <c r="BD380" s="796"/>
      <c r="BE380" s="796"/>
      <c r="BF380" s="796"/>
      <c r="BG380" s="796"/>
      <c r="BH380" s="796"/>
      <c r="BI380" s="796"/>
      <c r="BJ380" s="796"/>
      <c r="BK380" s="796"/>
      <c r="BL380" s="796"/>
    </row>
    <row r="381" spans="1:64" ht="15" customHeight="1">
      <c r="A381" s="796" t="s">
        <v>977</v>
      </c>
      <c r="B381" s="795" t="str">
        <f t="shared" si="85"/>
        <v>III</v>
      </c>
      <c r="C381" s="796" t="s">
        <v>978</v>
      </c>
      <c r="D381" s="795" t="str">
        <f t="shared" si="86"/>
        <v>IV</v>
      </c>
      <c r="G381" s="796" t="s">
        <v>979</v>
      </c>
      <c r="H381" s="795" t="str">
        <f t="shared" si="98"/>
        <v>IV</v>
      </c>
      <c r="M381" s="796" t="s">
        <v>980</v>
      </c>
      <c r="N381" s="796" t="str">
        <f t="shared" si="99"/>
        <v>III</v>
      </c>
      <c r="Q381" s="796" t="s">
        <v>981</v>
      </c>
      <c r="R381" s="796" t="str">
        <f t="shared" si="90"/>
        <v>I</v>
      </c>
      <c r="S381" s="796" t="s">
        <v>982</v>
      </c>
      <c r="T381" s="796" t="str">
        <f t="shared" si="91"/>
        <v>II</v>
      </c>
      <c r="U381" s="796" t="s">
        <v>983</v>
      </c>
      <c r="V381" s="796" t="str">
        <f t="shared" si="100"/>
        <v>III</v>
      </c>
      <c r="Y381" s="796" t="s">
        <v>984</v>
      </c>
      <c r="Z381" s="796" t="str">
        <f t="shared" si="101"/>
        <v>II</v>
      </c>
      <c r="AA381" s="796" t="s">
        <v>985</v>
      </c>
      <c r="AB381" s="796" t="str">
        <f t="shared" si="102"/>
        <v>II</v>
      </c>
      <c r="AC381" s="796" t="s">
        <v>986</v>
      </c>
      <c r="AD381" s="796" t="str">
        <f t="shared" si="103"/>
        <v>III</v>
      </c>
      <c r="AG381" s="796"/>
      <c r="AH381" s="796"/>
      <c r="AI381" s="796"/>
      <c r="AJ381" s="796"/>
      <c r="AK381" s="796"/>
      <c r="AL381" s="796"/>
      <c r="AM381" s="796"/>
      <c r="AN381" s="796"/>
      <c r="AO381" s="796"/>
      <c r="AP381" s="796"/>
      <c r="AQ381" s="796"/>
      <c r="AR381" s="796"/>
      <c r="AS381" s="796"/>
      <c r="AT381" s="796"/>
      <c r="AU381" s="796"/>
      <c r="AV381" s="796"/>
      <c r="AW381" s="796"/>
      <c r="AX381" s="796"/>
      <c r="AY381" s="796"/>
      <c r="AZ381" s="796"/>
      <c r="BA381" s="796"/>
      <c r="BB381" s="796"/>
      <c r="BC381" s="796"/>
      <c r="BD381" s="796"/>
      <c r="BE381" s="796"/>
      <c r="BF381" s="796"/>
      <c r="BG381" s="796"/>
      <c r="BH381" s="796"/>
      <c r="BI381" s="796"/>
      <c r="BJ381" s="796"/>
      <c r="BK381" s="796"/>
      <c r="BL381" s="796"/>
    </row>
    <row r="382" spans="1:64" ht="15" customHeight="1">
      <c r="A382" s="796" t="s">
        <v>987</v>
      </c>
      <c r="B382" s="795" t="str">
        <f t="shared" si="85"/>
        <v>IV</v>
      </c>
      <c r="C382" s="796" t="s">
        <v>988</v>
      </c>
      <c r="D382" s="795" t="str">
        <f t="shared" si="86"/>
        <v>VI</v>
      </c>
      <c r="G382" s="796" t="s">
        <v>989</v>
      </c>
      <c r="H382" s="795" t="str">
        <f t="shared" si="98"/>
        <v>II</v>
      </c>
      <c r="M382" s="796" t="s">
        <v>990</v>
      </c>
      <c r="N382" s="796" t="str">
        <f t="shared" si="99"/>
        <v>IV</v>
      </c>
      <c r="Q382" s="796" t="s">
        <v>991</v>
      </c>
      <c r="R382" s="796" t="str">
        <f t="shared" si="90"/>
        <v>I</v>
      </c>
      <c r="S382" s="796" t="s">
        <v>992</v>
      </c>
      <c r="T382" s="796" t="str">
        <f t="shared" si="91"/>
        <v>III</v>
      </c>
      <c r="U382" s="796" t="s">
        <v>993</v>
      </c>
      <c r="V382" s="796" t="str">
        <f t="shared" si="100"/>
        <v>II</v>
      </c>
      <c r="Y382" s="796" t="s">
        <v>994</v>
      </c>
      <c r="Z382" s="796" t="str">
        <f t="shared" si="101"/>
        <v>II</v>
      </c>
      <c r="AA382" s="796" t="s">
        <v>995</v>
      </c>
      <c r="AB382" s="796" t="str">
        <f t="shared" si="102"/>
        <v>II</v>
      </c>
      <c r="AC382" s="796" t="s">
        <v>996</v>
      </c>
      <c r="AD382" s="796" t="str">
        <f t="shared" si="103"/>
        <v>IV</v>
      </c>
      <c r="AG382" s="796"/>
      <c r="AH382" s="796"/>
      <c r="AI382" s="796"/>
      <c r="AJ382" s="796"/>
      <c r="AK382" s="796"/>
      <c r="AL382" s="796"/>
      <c r="AM382" s="796"/>
      <c r="AN382" s="796"/>
      <c r="AO382" s="796"/>
      <c r="AP382" s="796"/>
      <c r="AQ382" s="796"/>
      <c r="AR382" s="796"/>
      <c r="AS382" s="796"/>
      <c r="AT382" s="796"/>
      <c r="AU382" s="796"/>
      <c r="AV382" s="796"/>
      <c r="AW382" s="796"/>
      <c r="AX382" s="796"/>
      <c r="AY382" s="796"/>
      <c r="AZ382" s="796"/>
      <c r="BA382" s="796"/>
      <c r="BB382" s="796"/>
      <c r="BC382" s="796"/>
      <c r="BD382" s="796"/>
      <c r="BE382" s="796"/>
      <c r="BF382" s="796"/>
      <c r="BG382" s="796"/>
      <c r="BH382" s="796"/>
      <c r="BI382" s="796"/>
      <c r="BJ382" s="796"/>
      <c r="BK382" s="796"/>
      <c r="BL382" s="796"/>
    </row>
    <row r="383" spans="1:64" ht="15" customHeight="1">
      <c r="A383" s="796" t="s">
        <v>997</v>
      </c>
      <c r="B383" s="795" t="str">
        <f t="shared" si="85"/>
        <v>II</v>
      </c>
      <c r="C383" s="796" t="s">
        <v>998</v>
      </c>
      <c r="D383" s="795" t="str">
        <f t="shared" si="86"/>
        <v>III</v>
      </c>
      <c r="G383" s="796" t="s">
        <v>999</v>
      </c>
      <c r="H383" s="795" t="str">
        <f t="shared" si="98"/>
        <v>I</v>
      </c>
      <c r="M383" s="796" t="s">
        <v>1000</v>
      </c>
      <c r="N383" s="796" t="str">
        <f t="shared" si="99"/>
        <v>IV</v>
      </c>
      <c r="Q383" s="796" t="s">
        <v>1001</v>
      </c>
      <c r="R383" s="796" t="str">
        <f t="shared" si="90"/>
        <v>II</v>
      </c>
      <c r="S383" s="796" t="s">
        <v>1002</v>
      </c>
      <c r="T383" s="796" t="str">
        <f t="shared" si="91"/>
        <v>IV</v>
      </c>
      <c r="U383" s="796" t="s">
        <v>1003</v>
      </c>
      <c r="V383" s="796" t="str">
        <f t="shared" si="100"/>
        <v>II</v>
      </c>
      <c r="Y383" s="796" t="s">
        <v>1004</v>
      </c>
      <c r="Z383" s="796" t="str">
        <f t="shared" si="101"/>
        <v>I</v>
      </c>
      <c r="AA383" s="796" t="s">
        <v>1005</v>
      </c>
      <c r="AB383" s="796" t="str">
        <f t="shared" si="102"/>
        <v>II</v>
      </c>
      <c r="AC383" s="796" t="s">
        <v>1006</v>
      </c>
      <c r="AD383" s="796" t="str">
        <f t="shared" si="103"/>
        <v>IV</v>
      </c>
      <c r="AG383" s="796"/>
      <c r="AH383" s="796"/>
      <c r="AI383" s="796"/>
      <c r="AJ383" s="796"/>
      <c r="AK383" s="796"/>
      <c r="AL383" s="796"/>
      <c r="AM383" s="796"/>
      <c r="AN383" s="796"/>
      <c r="AO383" s="796"/>
      <c r="AP383" s="796"/>
      <c r="AQ383" s="796"/>
      <c r="AR383" s="796"/>
      <c r="AS383" s="796"/>
      <c r="AT383" s="796"/>
      <c r="AU383" s="796"/>
      <c r="AV383" s="796"/>
      <c r="AW383" s="796"/>
      <c r="AX383" s="796"/>
      <c r="AY383" s="796"/>
      <c r="AZ383" s="796"/>
      <c r="BA383" s="796"/>
      <c r="BB383" s="796"/>
      <c r="BC383" s="796"/>
      <c r="BD383" s="796"/>
      <c r="BE383" s="796"/>
      <c r="BF383" s="796"/>
      <c r="BG383" s="796"/>
      <c r="BH383" s="796"/>
      <c r="BI383" s="796"/>
      <c r="BJ383" s="796"/>
      <c r="BK383" s="796"/>
      <c r="BL383" s="796"/>
    </row>
    <row r="384" spans="1:64" ht="15" customHeight="1">
      <c r="A384" s="796" t="s">
        <v>1007</v>
      </c>
      <c r="B384" s="795" t="str">
        <f t="shared" si="85"/>
        <v>III</v>
      </c>
      <c r="C384" s="796" t="s">
        <v>1008</v>
      </c>
      <c r="D384" s="795" t="str">
        <f t="shared" si="86"/>
        <v>VII</v>
      </c>
      <c r="G384" s="796" t="s">
        <v>1009</v>
      </c>
      <c r="H384" s="795" t="str">
        <f t="shared" si="98"/>
        <v>III</v>
      </c>
      <c r="M384" s="796" t="s">
        <v>1010</v>
      </c>
      <c r="N384" s="796" t="str">
        <f t="shared" si="99"/>
        <v>II</v>
      </c>
      <c r="Q384" s="796" t="s">
        <v>1011</v>
      </c>
      <c r="R384" s="796" t="str">
        <f t="shared" si="90"/>
        <v>III</v>
      </c>
      <c r="S384" s="796" t="s">
        <v>1012</v>
      </c>
      <c r="T384" s="796" t="str">
        <f t="shared" si="91"/>
        <v>III</v>
      </c>
      <c r="U384" s="796" t="s">
        <v>1013</v>
      </c>
      <c r="V384" s="796" t="str">
        <f t="shared" si="100"/>
        <v>I</v>
      </c>
      <c r="Y384" s="796" t="s">
        <v>1014</v>
      </c>
      <c r="Z384" s="796" t="str">
        <f t="shared" si="101"/>
        <v>II</v>
      </c>
      <c r="AA384" s="796" t="s">
        <v>1015</v>
      </c>
      <c r="AB384" s="796" t="str">
        <f t="shared" si="102"/>
        <v>II</v>
      </c>
      <c r="AC384" s="796" t="s">
        <v>1016</v>
      </c>
      <c r="AD384" s="796" t="str">
        <f t="shared" si="103"/>
        <v>IV</v>
      </c>
      <c r="AG384" s="796"/>
      <c r="AH384" s="796"/>
      <c r="AI384" s="796"/>
      <c r="AJ384" s="796"/>
      <c r="AK384" s="796"/>
      <c r="AL384" s="796"/>
      <c r="AM384" s="796"/>
      <c r="AN384" s="796"/>
      <c r="AO384" s="796"/>
      <c r="AP384" s="796"/>
      <c r="AQ384" s="796"/>
      <c r="AR384" s="796"/>
      <c r="AS384" s="796"/>
      <c r="AT384" s="796"/>
      <c r="AU384" s="796"/>
      <c r="AV384" s="796"/>
      <c r="AW384" s="796"/>
      <c r="AX384" s="796"/>
      <c r="AY384" s="796"/>
      <c r="AZ384" s="796"/>
      <c r="BA384" s="796"/>
      <c r="BB384" s="796"/>
      <c r="BC384" s="796"/>
      <c r="BD384" s="796"/>
      <c r="BE384" s="796"/>
      <c r="BF384" s="796"/>
      <c r="BG384" s="796"/>
      <c r="BH384" s="796"/>
      <c r="BI384" s="796"/>
      <c r="BJ384" s="796"/>
      <c r="BK384" s="796"/>
      <c r="BL384" s="796"/>
    </row>
    <row r="385" spans="1:64" ht="15" customHeight="1">
      <c r="A385" s="796" t="s">
        <v>1017</v>
      </c>
      <c r="B385" s="795" t="str">
        <f t="shared" si="85"/>
        <v>V</v>
      </c>
      <c r="C385" s="796" t="s">
        <v>1018</v>
      </c>
      <c r="D385" s="795" t="str">
        <f t="shared" si="86"/>
        <v>IV</v>
      </c>
      <c r="G385" s="796" t="s">
        <v>1019</v>
      </c>
      <c r="H385" s="795" t="str">
        <f t="shared" si="98"/>
        <v>II</v>
      </c>
      <c r="M385" s="796" t="s">
        <v>1020</v>
      </c>
      <c r="N385" s="796" t="str">
        <f t="shared" si="99"/>
        <v>V</v>
      </c>
      <c r="Q385" s="796" t="s">
        <v>1021</v>
      </c>
      <c r="R385" s="796" t="str">
        <f t="shared" si="90"/>
        <v>II</v>
      </c>
      <c r="S385" s="796" t="s">
        <v>1022</v>
      </c>
      <c r="T385" s="796" t="str">
        <f t="shared" si="91"/>
        <v>III</v>
      </c>
      <c r="U385" s="796" t="s">
        <v>1023</v>
      </c>
      <c r="V385" s="796" t="str">
        <f t="shared" si="100"/>
        <v>III</v>
      </c>
      <c r="Y385" s="796" t="s">
        <v>1024</v>
      </c>
      <c r="Z385" s="796" t="str">
        <f t="shared" si="101"/>
        <v>III</v>
      </c>
      <c r="AA385" s="796" t="s">
        <v>1025</v>
      </c>
      <c r="AB385" s="796" t="str">
        <f t="shared" si="102"/>
        <v>II</v>
      </c>
      <c r="AC385" s="796" t="s">
        <v>1026</v>
      </c>
      <c r="AD385" s="796" t="str">
        <f t="shared" si="103"/>
        <v>VI</v>
      </c>
      <c r="AG385" s="796"/>
      <c r="AH385" s="796"/>
      <c r="AI385" s="796"/>
      <c r="AJ385" s="796"/>
      <c r="AK385" s="796"/>
      <c r="AL385" s="796"/>
      <c r="AM385" s="796"/>
      <c r="AN385" s="796"/>
      <c r="AO385" s="796"/>
      <c r="AP385" s="796"/>
      <c r="AQ385" s="796"/>
      <c r="AR385" s="796"/>
      <c r="AS385" s="796"/>
      <c r="AT385" s="796"/>
      <c r="AU385" s="796"/>
      <c r="AV385" s="796"/>
      <c r="AW385" s="796"/>
      <c r="AX385" s="796"/>
      <c r="AY385" s="796"/>
      <c r="AZ385" s="796"/>
      <c r="BA385" s="796"/>
      <c r="BB385" s="796"/>
      <c r="BC385" s="796"/>
      <c r="BD385" s="796"/>
      <c r="BE385" s="796"/>
      <c r="BF385" s="796"/>
      <c r="BG385" s="796"/>
      <c r="BH385" s="796"/>
      <c r="BI385" s="796"/>
      <c r="BJ385" s="796"/>
      <c r="BK385" s="796"/>
      <c r="BL385" s="796"/>
    </row>
    <row r="386" spans="1:64" ht="15" customHeight="1">
      <c r="A386" s="796" t="s">
        <v>1027</v>
      </c>
      <c r="B386" s="795" t="str">
        <f t="shared" si="85"/>
        <v>II</v>
      </c>
      <c r="C386" s="796" t="s">
        <v>1028</v>
      </c>
      <c r="D386" s="795" t="str">
        <f t="shared" si="86"/>
        <v>III</v>
      </c>
      <c r="G386" s="796" t="s">
        <v>1029</v>
      </c>
      <c r="H386" s="795" t="str">
        <f t="shared" si="98"/>
        <v>II</v>
      </c>
      <c r="M386" s="796" t="s">
        <v>1030</v>
      </c>
      <c r="N386" s="796" t="str">
        <f t="shared" si="99"/>
        <v>V</v>
      </c>
      <c r="Q386" s="796" t="s">
        <v>1031</v>
      </c>
      <c r="R386" s="796" t="str">
        <f t="shared" si="90"/>
        <v>III</v>
      </c>
      <c r="S386" s="796" t="s">
        <v>1032</v>
      </c>
      <c r="T386" s="796" t="str">
        <f t="shared" si="91"/>
        <v>II</v>
      </c>
      <c r="U386" s="796" t="s">
        <v>1033</v>
      </c>
      <c r="V386" s="796" t="str">
        <f t="shared" si="100"/>
        <v>III</v>
      </c>
      <c r="Y386" s="796" t="s">
        <v>1034</v>
      </c>
      <c r="Z386" s="796" t="str">
        <f t="shared" si="101"/>
        <v>I</v>
      </c>
      <c r="AA386" s="796" t="s">
        <v>1035</v>
      </c>
      <c r="AB386" s="796" t="str">
        <f t="shared" si="102"/>
        <v>II</v>
      </c>
      <c r="AC386" s="796" t="s">
        <v>1036</v>
      </c>
      <c r="AD386" s="796" t="str">
        <f t="shared" si="103"/>
        <v>V</v>
      </c>
      <c r="AG386" s="796"/>
      <c r="AH386" s="796"/>
      <c r="AI386" s="796"/>
      <c r="AJ386" s="796"/>
      <c r="AK386" s="796"/>
      <c r="AL386" s="796"/>
      <c r="AM386" s="796"/>
      <c r="AN386" s="796"/>
      <c r="AO386" s="796"/>
      <c r="AP386" s="796"/>
      <c r="AQ386" s="796"/>
      <c r="AR386" s="796"/>
      <c r="AS386" s="796"/>
      <c r="AT386" s="796"/>
      <c r="AU386" s="796"/>
      <c r="AV386" s="796"/>
      <c r="AW386" s="796"/>
      <c r="AX386" s="796"/>
      <c r="AY386" s="796"/>
      <c r="AZ386" s="796"/>
      <c r="BA386" s="796"/>
      <c r="BB386" s="796"/>
      <c r="BC386" s="796"/>
      <c r="BD386" s="796"/>
      <c r="BE386" s="796"/>
      <c r="BF386" s="796"/>
      <c r="BG386" s="796"/>
      <c r="BH386" s="796"/>
      <c r="BI386" s="796"/>
      <c r="BJ386" s="796"/>
      <c r="BK386" s="796"/>
      <c r="BL386" s="796"/>
    </row>
    <row r="387" spans="1:64" ht="15" customHeight="1">
      <c r="A387" s="796" t="s">
        <v>784</v>
      </c>
      <c r="B387" s="795" t="str">
        <f t="shared" si="85"/>
        <v>III</v>
      </c>
      <c r="C387" s="796" t="s">
        <v>1037</v>
      </c>
      <c r="D387" s="795" t="str">
        <f t="shared" si="86"/>
        <v>IV</v>
      </c>
      <c r="G387" s="796" t="s">
        <v>1038</v>
      </c>
      <c r="H387" s="795" t="str">
        <f t="shared" si="98"/>
        <v>III</v>
      </c>
      <c r="M387" s="796" t="s">
        <v>1039</v>
      </c>
      <c r="N387" s="796" t="str">
        <f t="shared" si="99"/>
        <v>IV</v>
      </c>
      <c r="Q387" s="796" t="s">
        <v>1040</v>
      </c>
      <c r="R387" s="796" t="str">
        <f t="shared" si="90"/>
        <v>I</v>
      </c>
      <c r="S387" s="796" t="s">
        <v>1041</v>
      </c>
      <c r="T387" s="796" t="str">
        <f t="shared" si="91"/>
        <v>II</v>
      </c>
      <c r="U387" s="796" t="s">
        <v>1042</v>
      </c>
      <c r="V387" s="796" t="str">
        <f t="shared" si="100"/>
        <v>II</v>
      </c>
      <c r="Y387" s="796" t="s">
        <v>1043</v>
      </c>
      <c r="Z387" s="796" t="str">
        <f t="shared" si="101"/>
        <v>II</v>
      </c>
      <c r="AA387" s="796" t="s">
        <v>1044</v>
      </c>
      <c r="AB387" s="796" t="str">
        <f t="shared" si="102"/>
        <v>II</v>
      </c>
      <c r="AC387" s="796" t="s">
        <v>1045</v>
      </c>
      <c r="AD387" s="796" t="str">
        <f t="shared" si="103"/>
        <v>IV</v>
      </c>
      <c r="AG387" s="796"/>
      <c r="AH387" s="796"/>
      <c r="AI387" s="796"/>
      <c r="AJ387" s="796"/>
      <c r="AK387" s="796"/>
      <c r="AL387" s="796"/>
      <c r="AM387" s="796"/>
      <c r="AN387" s="796"/>
      <c r="AO387" s="796"/>
      <c r="AP387" s="796"/>
      <c r="AQ387" s="796"/>
      <c r="AR387" s="796"/>
      <c r="AS387" s="796"/>
      <c r="AT387" s="796"/>
      <c r="AU387" s="796"/>
      <c r="AV387" s="796"/>
      <c r="AW387" s="796"/>
      <c r="AX387" s="796"/>
      <c r="AY387" s="796"/>
      <c r="AZ387" s="796"/>
      <c r="BA387" s="796"/>
      <c r="BB387" s="796"/>
      <c r="BC387" s="796"/>
      <c r="BD387" s="796"/>
      <c r="BE387" s="796"/>
      <c r="BF387" s="796"/>
      <c r="BG387" s="796"/>
      <c r="BH387" s="796"/>
      <c r="BI387" s="796"/>
      <c r="BJ387" s="796"/>
      <c r="BK387" s="796"/>
      <c r="BL387" s="796"/>
    </row>
    <row r="388" spans="1:64" ht="15" customHeight="1">
      <c r="A388" s="796" t="s">
        <v>1046</v>
      </c>
      <c r="B388" s="795" t="str">
        <f t="shared" ref="B388:B451" si="105">VLOOKUP(A388,BaWü,IF(Jahreszahl&lt;2020,3,2))</f>
        <v>V</v>
      </c>
      <c r="C388" s="796" t="s">
        <v>1047</v>
      </c>
      <c r="D388" s="795" t="str">
        <f t="shared" ref="D388:D451" si="106">VLOOKUP(C388,Bayern,IF(Jahreszahl&lt;2020,3,2))</f>
        <v>VI</v>
      </c>
      <c r="G388" s="796" t="s">
        <v>1048</v>
      </c>
      <c r="H388" s="795" t="str">
        <f t="shared" ref="H388:H405" si="107">VLOOKUP(G388,Brandenburg,IF(Jahreszahl&lt;2020,3,2))</f>
        <v>III</v>
      </c>
      <c r="M388" s="796" t="s">
        <v>1049</v>
      </c>
      <c r="N388" s="796" t="str">
        <f t="shared" ref="N388:N419" si="108">VLOOKUP(M388,Hessen,IF(Jahreszahl&lt;2020,3,2))</f>
        <v>IV</v>
      </c>
      <c r="Q388" s="796" t="s">
        <v>1050</v>
      </c>
      <c r="R388" s="796" t="str">
        <f t="shared" ref="R388:R451" si="109">VLOOKUP(Q388,Niedersachsen,IF(Jahreszahl&lt;2020,3,2))</f>
        <v>II</v>
      </c>
      <c r="S388" s="796" t="s">
        <v>1051</v>
      </c>
      <c r="T388" s="796" t="str">
        <f t="shared" ref="T388:T451" si="110">VLOOKUP(S388,NRW,IF(Jahreszahl&lt;2020,3,2))</f>
        <v>III</v>
      </c>
      <c r="U388" s="796" t="s">
        <v>1052</v>
      </c>
      <c r="V388" s="796" t="str">
        <f t="shared" ref="V388:V393" si="111">VLOOKUP(U388,RLP,IF(Jahreszahl&lt;2020,3,2))</f>
        <v>III</v>
      </c>
      <c r="Y388" s="796" t="s">
        <v>1053</v>
      </c>
      <c r="Z388" s="796" t="str">
        <f t="shared" ref="Z388:Z402" si="112">VLOOKUP(Y388,Sachsen,IF(Jahreszahl&lt;2020,3,2))</f>
        <v>II</v>
      </c>
      <c r="AA388" s="796" t="s">
        <v>1054</v>
      </c>
      <c r="AB388" s="796">
        <f t="shared" ref="AB388:AB392" si="113">VLOOKUP(AA388,Saanhalt,IF(Jahreszahl&lt;2020,3,2))</f>
        <v>0</v>
      </c>
      <c r="AC388" s="796" t="s">
        <v>1055</v>
      </c>
      <c r="AD388" s="796" t="str">
        <f t="shared" ref="AD388:AD389" si="114">VLOOKUP(AC388,Schleswig,IF(Jahreszahl&lt;2020,3,2))</f>
        <v>VI</v>
      </c>
      <c r="AG388" s="796"/>
      <c r="AH388" s="796"/>
      <c r="AI388" s="796"/>
      <c r="AJ388" s="796"/>
      <c r="AK388" s="796"/>
      <c r="AL388" s="796"/>
      <c r="AM388" s="796"/>
      <c r="AN388" s="796"/>
      <c r="AO388" s="796"/>
      <c r="AP388" s="796"/>
      <c r="AQ388" s="796"/>
      <c r="AR388" s="796"/>
      <c r="AS388" s="796"/>
      <c r="AT388" s="796"/>
      <c r="AU388" s="796"/>
      <c r="AV388" s="796"/>
      <c r="AW388" s="796"/>
      <c r="AX388" s="796"/>
      <c r="AY388" s="796"/>
      <c r="AZ388" s="796"/>
      <c r="BA388" s="796"/>
      <c r="BB388" s="796"/>
      <c r="BC388" s="796"/>
      <c r="BD388" s="796"/>
      <c r="BE388" s="796"/>
      <c r="BF388" s="796"/>
      <c r="BG388" s="796"/>
      <c r="BH388" s="796"/>
      <c r="BI388" s="796"/>
      <c r="BJ388" s="796"/>
      <c r="BK388" s="796"/>
      <c r="BL388" s="796"/>
    </row>
    <row r="389" spans="1:64" ht="15" customHeight="1">
      <c r="A389" s="796" t="s">
        <v>1056</v>
      </c>
      <c r="B389" s="795" t="str">
        <f t="shared" si="105"/>
        <v>II</v>
      </c>
      <c r="C389" s="796" t="s">
        <v>1057</v>
      </c>
      <c r="D389" s="795" t="str">
        <f t="shared" si="106"/>
        <v>VI</v>
      </c>
      <c r="G389" s="796" t="s">
        <v>1058</v>
      </c>
      <c r="H389" s="795" t="str">
        <f t="shared" si="107"/>
        <v>II</v>
      </c>
      <c r="M389" s="796" t="s">
        <v>1059</v>
      </c>
      <c r="N389" s="796" t="str">
        <f t="shared" si="108"/>
        <v>I</v>
      </c>
      <c r="Q389" s="796" t="s">
        <v>1060</v>
      </c>
      <c r="R389" s="796" t="str">
        <f t="shared" si="109"/>
        <v>IV</v>
      </c>
      <c r="S389" s="796" t="s">
        <v>1061</v>
      </c>
      <c r="T389" s="796" t="str">
        <f t="shared" si="110"/>
        <v>II</v>
      </c>
      <c r="U389" s="796" t="s">
        <v>1062</v>
      </c>
      <c r="V389" s="796" t="str">
        <f t="shared" si="111"/>
        <v>III</v>
      </c>
      <c r="Y389" s="796" t="s">
        <v>1063</v>
      </c>
      <c r="Z389" s="796" t="str">
        <f t="shared" si="112"/>
        <v>I</v>
      </c>
      <c r="AA389" s="796" t="s">
        <v>1064</v>
      </c>
      <c r="AB389" s="796" t="str">
        <f t="shared" si="113"/>
        <v>II</v>
      </c>
      <c r="AC389" s="796" t="s">
        <v>1065</v>
      </c>
      <c r="AD389" s="796" t="str">
        <f t="shared" si="114"/>
        <v>V</v>
      </c>
      <c r="AG389" s="796"/>
      <c r="AH389" s="796"/>
      <c r="AI389" s="796"/>
      <c r="AJ389" s="796"/>
      <c r="AK389" s="796"/>
      <c r="AL389" s="796"/>
      <c r="AM389" s="796"/>
      <c r="AN389" s="796"/>
      <c r="AO389" s="796"/>
      <c r="AP389" s="796"/>
      <c r="AQ389" s="796"/>
      <c r="AR389" s="796"/>
      <c r="AS389" s="796"/>
      <c r="AT389" s="796"/>
      <c r="AU389" s="796"/>
      <c r="AV389" s="796"/>
      <c r="AW389" s="796"/>
      <c r="AX389" s="796"/>
      <c r="AY389" s="796"/>
      <c r="AZ389" s="796"/>
      <c r="BA389" s="796"/>
      <c r="BB389" s="796"/>
      <c r="BC389" s="796"/>
      <c r="BD389" s="796"/>
      <c r="BE389" s="796"/>
      <c r="BF389" s="796"/>
      <c r="BG389" s="796"/>
      <c r="BH389" s="796"/>
      <c r="BI389" s="796"/>
      <c r="BJ389" s="796"/>
      <c r="BK389" s="796"/>
      <c r="BL389" s="796"/>
    </row>
    <row r="390" spans="1:64" ht="15" customHeight="1">
      <c r="A390" s="796" t="s">
        <v>1066</v>
      </c>
      <c r="B390" s="795" t="str">
        <f t="shared" si="105"/>
        <v>IV</v>
      </c>
      <c r="C390" s="796" t="s">
        <v>1067</v>
      </c>
      <c r="D390" s="795" t="str">
        <f t="shared" si="106"/>
        <v>VII</v>
      </c>
      <c r="G390" s="796" t="s">
        <v>1068</v>
      </c>
      <c r="H390" s="795" t="str">
        <f t="shared" si="107"/>
        <v>IV</v>
      </c>
      <c r="M390" s="796" t="s">
        <v>1069</v>
      </c>
      <c r="N390" s="796" t="str">
        <f t="shared" si="108"/>
        <v>II</v>
      </c>
      <c r="Q390" s="796" t="s">
        <v>1070</v>
      </c>
      <c r="R390" s="796" t="str">
        <f t="shared" si="109"/>
        <v>I</v>
      </c>
      <c r="S390" s="796" t="s">
        <v>1071</v>
      </c>
      <c r="T390" s="796" t="str">
        <f t="shared" si="110"/>
        <v>III</v>
      </c>
      <c r="U390" s="796" t="s">
        <v>1072</v>
      </c>
      <c r="V390" s="796" t="str">
        <f t="shared" si="111"/>
        <v>II</v>
      </c>
      <c r="Y390" s="796" t="s">
        <v>1073</v>
      </c>
      <c r="Z390" s="796" t="str">
        <f t="shared" si="112"/>
        <v>I</v>
      </c>
      <c r="AA390" s="796" t="s">
        <v>1074</v>
      </c>
      <c r="AB390" s="796" t="str">
        <f t="shared" si="113"/>
        <v>II</v>
      </c>
      <c r="AG390" s="796"/>
      <c r="AH390" s="796"/>
      <c r="AI390" s="796"/>
      <c r="AJ390" s="796"/>
      <c r="AK390" s="796"/>
      <c r="AL390" s="796"/>
      <c r="AM390" s="796"/>
      <c r="AN390" s="796"/>
      <c r="AO390" s="796"/>
      <c r="AP390" s="796"/>
      <c r="AQ390" s="796"/>
      <c r="AR390" s="796"/>
      <c r="AS390" s="796"/>
      <c r="AT390" s="796"/>
      <c r="AU390" s="796"/>
      <c r="AV390" s="796"/>
      <c r="AW390" s="796"/>
      <c r="AX390" s="796"/>
      <c r="AY390" s="796"/>
      <c r="AZ390" s="796"/>
      <c r="BA390" s="796"/>
      <c r="BB390" s="796"/>
      <c r="BC390" s="796"/>
      <c r="BD390" s="796"/>
      <c r="BE390" s="796"/>
      <c r="BF390" s="796"/>
      <c r="BG390" s="796"/>
      <c r="BH390" s="796"/>
      <c r="BI390" s="796"/>
      <c r="BJ390" s="796"/>
      <c r="BK390" s="796"/>
      <c r="BL390" s="796"/>
    </row>
    <row r="391" spans="1:64" ht="15" customHeight="1">
      <c r="A391" s="796" t="s">
        <v>1075</v>
      </c>
      <c r="B391" s="795" t="str">
        <f t="shared" si="105"/>
        <v>V</v>
      </c>
      <c r="C391" s="796" t="s">
        <v>1076</v>
      </c>
      <c r="D391" s="795" t="str">
        <f t="shared" si="106"/>
        <v>II</v>
      </c>
      <c r="G391" s="796" t="s">
        <v>1077</v>
      </c>
      <c r="H391" s="795" t="str">
        <f t="shared" si="107"/>
        <v>II</v>
      </c>
      <c r="M391" s="796" t="s">
        <v>1078</v>
      </c>
      <c r="N391" s="796" t="str">
        <f t="shared" si="108"/>
        <v>II</v>
      </c>
      <c r="Q391" s="796" t="s">
        <v>1079</v>
      </c>
      <c r="R391" s="796" t="str">
        <f t="shared" si="109"/>
        <v>I</v>
      </c>
      <c r="S391" s="796" t="s">
        <v>1080</v>
      </c>
      <c r="T391" s="796" t="str">
        <f t="shared" si="110"/>
        <v>VI</v>
      </c>
      <c r="U391" s="796" t="s">
        <v>1081</v>
      </c>
      <c r="V391" s="796" t="str">
        <f t="shared" si="111"/>
        <v>III</v>
      </c>
      <c r="Y391" s="796" t="s">
        <v>1082</v>
      </c>
      <c r="Z391" s="796" t="str">
        <f t="shared" si="112"/>
        <v>II</v>
      </c>
      <c r="AA391" s="796" t="s">
        <v>1083</v>
      </c>
      <c r="AB391" s="796" t="str">
        <f t="shared" si="113"/>
        <v>II</v>
      </c>
      <c r="AG391" s="796"/>
      <c r="AH391" s="796"/>
      <c r="AI391" s="796"/>
      <c r="AJ391" s="796"/>
      <c r="AK391" s="796"/>
      <c r="AL391" s="796"/>
      <c r="AM391" s="796"/>
      <c r="AN391" s="796"/>
      <c r="AO391" s="796"/>
      <c r="AP391" s="796"/>
      <c r="AQ391" s="796"/>
      <c r="AR391" s="796"/>
      <c r="AS391" s="796"/>
      <c r="AT391" s="796"/>
      <c r="AU391" s="796"/>
      <c r="AV391" s="796"/>
      <c r="AW391" s="796"/>
      <c r="AX391" s="796"/>
      <c r="AY391" s="796"/>
      <c r="AZ391" s="796"/>
      <c r="BA391" s="796"/>
      <c r="BB391" s="796"/>
      <c r="BC391" s="796"/>
      <c r="BD391" s="796"/>
      <c r="BE391" s="796"/>
      <c r="BF391" s="796"/>
      <c r="BG391" s="796"/>
      <c r="BH391" s="796"/>
      <c r="BI391" s="796"/>
      <c r="BJ391" s="796"/>
      <c r="BK391" s="796"/>
      <c r="BL391" s="796"/>
    </row>
    <row r="392" spans="1:64" ht="15" customHeight="1">
      <c r="A392" s="796" t="s">
        <v>1084</v>
      </c>
      <c r="B392" s="795" t="str">
        <f t="shared" si="105"/>
        <v>V</v>
      </c>
      <c r="C392" s="796" t="s">
        <v>1085</v>
      </c>
      <c r="D392" s="795" t="str">
        <f t="shared" si="106"/>
        <v>I</v>
      </c>
      <c r="G392" s="796" t="s">
        <v>1086</v>
      </c>
      <c r="H392" s="795" t="str">
        <f t="shared" si="107"/>
        <v>II</v>
      </c>
      <c r="M392" s="796" t="s">
        <v>1087</v>
      </c>
      <c r="N392" s="796" t="str">
        <f t="shared" si="108"/>
        <v>I</v>
      </c>
      <c r="Q392" s="796" t="s">
        <v>1088</v>
      </c>
      <c r="R392" s="796" t="str">
        <f t="shared" si="109"/>
        <v>II</v>
      </c>
      <c r="S392" s="796" t="s">
        <v>1089</v>
      </c>
      <c r="T392" s="796" t="str">
        <f t="shared" si="110"/>
        <v>II</v>
      </c>
      <c r="U392" s="796" t="s">
        <v>1090</v>
      </c>
      <c r="V392" s="796" t="str">
        <f t="shared" si="111"/>
        <v>III</v>
      </c>
      <c r="Y392" s="796" t="s">
        <v>1091</v>
      </c>
      <c r="Z392" s="796" t="str">
        <f t="shared" si="112"/>
        <v>III</v>
      </c>
      <c r="AA392" s="796" t="s">
        <v>1092</v>
      </c>
      <c r="AB392" s="796" t="str">
        <f t="shared" si="113"/>
        <v>II</v>
      </c>
      <c r="AG392" s="796"/>
      <c r="AH392" s="796"/>
      <c r="AI392" s="796"/>
      <c r="AJ392" s="796"/>
      <c r="AK392" s="796"/>
      <c r="AL392" s="796"/>
      <c r="AM392" s="796"/>
      <c r="AN392" s="796"/>
      <c r="AO392" s="796"/>
      <c r="AP392" s="796"/>
      <c r="AQ392" s="796"/>
      <c r="AR392" s="796"/>
      <c r="AS392" s="796"/>
      <c r="AT392" s="796"/>
      <c r="AU392" s="796"/>
      <c r="AV392" s="796"/>
      <c r="AW392" s="796"/>
      <c r="AX392" s="796"/>
      <c r="AY392" s="796"/>
      <c r="AZ392" s="796"/>
      <c r="BA392" s="796"/>
      <c r="BB392" s="796"/>
      <c r="BC392" s="796"/>
      <c r="BD392" s="796"/>
      <c r="BE392" s="796"/>
      <c r="BF392" s="796"/>
      <c r="BG392" s="796"/>
      <c r="BH392" s="796"/>
      <c r="BI392" s="796"/>
      <c r="BJ392" s="796"/>
      <c r="BK392" s="796"/>
      <c r="BL392" s="796"/>
    </row>
    <row r="393" spans="1:64" ht="15" customHeight="1">
      <c r="A393" s="796" t="s">
        <v>1093</v>
      </c>
      <c r="B393" s="795" t="str">
        <f t="shared" si="105"/>
        <v>V</v>
      </c>
      <c r="C393" s="796" t="s">
        <v>1094</v>
      </c>
      <c r="D393" s="795" t="str">
        <f t="shared" si="106"/>
        <v>IV</v>
      </c>
      <c r="G393" s="796" t="s">
        <v>1095</v>
      </c>
      <c r="H393" s="795" t="str">
        <f t="shared" si="107"/>
        <v>IV</v>
      </c>
      <c r="M393" s="796" t="s">
        <v>1096</v>
      </c>
      <c r="N393" s="796" t="str">
        <f t="shared" si="108"/>
        <v>III</v>
      </c>
      <c r="Q393" s="796" t="s">
        <v>1097</v>
      </c>
      <c r="R393" s="796" t="str">
        <f t="shared" si="109"/>
        <v>I</v>
      </c>
      <c r="S393" s="796" t="s">
        <v>1098</v>
      </c>
      <c r="T393" s="796" t="str">
        <f t="shared" si="110"/>
        <v>III</v>
      </c>
      <c r="U393" s="796" t="s">
        <v>1099</v>
      </c>
      <c r="V393" s="796" t="str">
        <f t="shared" si="111"/>
        <v>I</v>
      </c>
      <c r="Y393" s="796" t="s">
        <v>1100</v>
      </c>
      <c r="Z393" s="796" t="str">
        <f t="shared" si="112"/>
        <v>I</v>
      </c>
      <c r="AG393" s="796"/>
      <c r="AH393" s="796"/>
      <c r="AI393" s="796"/>
      <c r="AJ393" s="796"/>
      <c r="AK393" s="796"/>
      <c r="AL393" s="796"/>
      <c r="AM393" s="796"/>
      <c r="AN393" s="796"/>
      <c r="AO393" s="796"/>
      <c r="AP393" s="796"/>
      <c r="AQ393" s="796"/>
      <c r="AR393" s="796"/>
      <c r="AS393" s="796"/>
      <c r="AT393" s="796"/>
      <c r="AU393" s="796"/>
      <c r="AV393" s="796"/>
      <c r="AW393" s="796"/>
      <c r="AX393" s="796"/>
      <c r="AY393" s="796"/>
      <c r="AZ393" s="796"/>
      <c r="BA393" s="796"/>
      <c r="BB393" s="796"/>
      <c r="BC393" s="796"/>
      <c r="BD393" s="796"/>
      <c r="BE393" s="796"/>
      <c r="BF393" s="796"/>
      <c r="BG393" s="796"/>
      <c r="BH393" s="796"/>
      <c r="BI393" s="796"/>
      <c r="BJ393" s="796"/>
      <c r="BK393" s="796"/>
      <c r="BL393" s="796"/>
    </row>
    <row r="394" spans="1:64" ht="15" customHeight="1">
      <c r="A394" s="796" t="s">
        <v>1101</v>
      </c>
      <c r="B394" s="795" t="str">
        <f t="shared" si="105"/>
        <v>VI</v>
      </c>
      <c r="C394" s="796" t="s">
        <v>1102</v>
      </c>
      <c r="D394" s="795" t="str">
        <f t="shared" si="106"/>
        <v>VII</v>
      </c>
      <c r="G394" s="796" t="s">
        <v>1103</v>
      </c>
      <c r="H394" s="795" t="str">
        <f t="shared" si="107"/>
        <v>II</v>
      </c>
      <c r="M394" s="796" t="s">
        <v>1104</v>
      </c>
      <c r="N394" s="796" t="str">
        <f t="shared" si="108"/>
        <v>IV</v>
      </c>
      <c r="Q394" s="796" t="s">
        <v>1105</v>
      </c>
      <c r="R394" s="796" t="str">
        <f t="shared" si="109"/>
        <v>I</v>
      </c>
      <c r="S394" s="796" t="s">
        <v>1106</v>
      </c>
      <c r="T394" s="796" t="str">
        <f t="shared" si="110"/>
        <v>II</v>
      </c>
      <c r="Y394" s="796" t="s">
        <v>1107</v>
      </c>
      <c r="Z394" s="796" t="str">
        <f t="shared" si="112"/>
        <v>II</v>
      </c>
      <c r="AG394" s="796"/>
      <c r="AH394" s="796"/>
      <c r="AI394" s="796"/>
      <c r="AJ394" s="796"/>
      <c r="AK394" s="796"/>
      <c r="AL394" s="796"/>
      <c r="AM394" s="796"/>
      <c r="AN394" s="796"/>
      <c r="AO394" s="796"/>
      <c r="AP394" s="796"/>
      <c r="AQ394" s="796"/>
      <c r="AR394" s="796"/>
      <c r="AS394" s="796"/>
      <c r="AT394" s="796"/>
      <c r="AU394" s="796"/>
      <c r="AV394" s="796"/>
      <c r="AW394" s="796"/>
      <c r="AX394" s="796"/>
      <c r="AY394" s="796"/>
      <c r="AZ394" s="796"/>
      <c r="BA394" s="796"/>
      <c r="BB394" s="796"/>
      <c r="BC394" s="796"/>
      <c r="BD394" s="796"/>
      <c r="BE394" s="796"/>
      <c r="BF394" s="796"/>
      <c r="BG394" s="796"/>
      <c r="BH394" s="796"/>
      <c r="BI394" s="796"/>
      <c r="BJ394" s="796"/>
      <c r="BK394" s="796"/>
      <c r="BL394" s="796"/>
    </row>
    <row r="395" spans="1:64" ht="15" customHeight="1">
      <c r="A395" s="796" t="s">
        <v>1108</v>
      </c>
      <c r="B395" s="795" t="str">
        <f t="shared" si="105"/>
        <v>III</v>
      </c>
      <c r="C395" s="796" t="s">
        <v>1109</v>
      </c>
      <c r="D395" s="795" t="str">
        <f t="shared" si="106"/>
        <v>III</v>
      </c>
      <c r="G395" s="796" t="s">
        <v>1110</v>
      </c>
      <c r="H395" s="795" t="str">
        <f t="shared" si="107"/>
        <v>IV</v>
      </c>
      <c r="M395" s="796" t="s">
        <v>1111</v>
      </c>
      <c r="N395" s="796" t="str">
        <f t="shared" si="108"/>
        <v>VI</v>
      </c>
      <c r="Q395" s="796" t="s">
        <v>1112</v>
      </c>
      <c r="R395" s="796" t="str">
        <f t="shared" si="109"/>
        <v>II</v>
      </c>
      <c r="S395" s="796" t="s">
        <v>1113</v>
      </c>
      <c r="T395" s="796" t="str">
        <f t="shared" si="110"/>
        <v>II</v>
      </c>
      <c r="Y395" s="796" t="s">
        <v>1114</v>
      </c>
      <c r="Z395" s="796" t="str">
        <f t="shared" si="112"/>
        <v>II</v>
      </c>
      <c r="AG395" s="796"/>
      <c r="AH395" s="796"/>
      <c r="AI395" s="796"/>
      <c r="AJ395" s="796"/>
      <c r="AK395" s="796"/>
      <c r="AL395" s="796"/>
      <c r="AM395" s="796"/>
      <c r="AN395" s="796"/>
      <c r="AO395" s="796"/>
      <c r="AP395" s="796"/>
      <c r="AQ395" s="796"/>
      <c r="AR395" s="796"/>
      <c r="AS395" s="796"/>
      <c r="AT395" s="796"/>
      <c r="AU395" s="796"/>
      <c r="AV395" s="796"/>
      <c r="AW395" s="796"/>
      <c r="AX395" s="796"/>
      <c r="AY395" s="796"/>
      <c r="AZ395" s="796"/>
      <c r="BA395" s="796"/>
      <c r="BB395" s="796"/>
      <c r="BC395" s="796"/>
      <c r="BD395" s="796"/>
      <c r="BE395" s="796"/>
      <c r="BF395" s="796"/>
      <c r="BG395" s="796"/>
      <c r="BH395" s="796"/>
      <c r="BI395" s="796"/>
      <c r="BJ395" s="796"/>
      <c r="BK395" s="796"/>
      <c r="BL395" s="796"/>
    </row>
    <row r="396" spans="1:64" ht="15" customHeight="1">
      <c r="A396" s="796" t="s">
        <v>1115</v>
      </c>
      <c r="B396" s="795" t="str">
        <f t="shared" si="105"/>
        <v>V</v>
      </c>
      <c r="C396" s="796" t="s">
        <v>1116</v>
      </c>
      <c r="D396" s="795" t="str">
        <f t="shared" si="106"/>
        <v>VII</v>
      </c>
      <c r="G396" s="796" t="s">
        <v>1117</v>
      </c>
      <c r="H396" s="795" t="str">
        <f t="shared" si="107"/>
        <v>II</v>
      </c>
      <c r="M396" s="796" t="s">
        <v>1118</v>
      </c>
      <c r="N396" s="796" t="str">
        <f t="shared" si="108"/>
        <v>III</v>
      </c>
      <c r="Q396" s="796" t="s">
        <v>1119</v>
      </c>
      <c r="R396" s="796" t="str">
        <f t="shared" si="109"/>
        <v>II</v>
      </c>
      <c r="S396" s="796" t="s">
        <v>1120</v>
      </c>
      <c r="T396" s="796" t="str">
        <f t="shared" si="110"/>
        <v>III</v>
      </c>
      <c r="Y396" s="796" t="s">
        <v>1121</v>
      </c>
      <c r="Z396" s="796" t="str">
        <f t="shared" si="112"/>
        <v>I</v>
      </c>
      <c r="AG396" s="796"/>
      <c r="AH396" s="796"/>
      <c r="AI396" s="796"/>
      <c r="AJ396" s="796"/>
      <c r="AK396" s="796"/>
      <c r="AL396" s="796"/>
      <c r="AM396" s="796"/>
      <c r="AN396" s="796"/>
      <c r="AO396" s="796"/>
      <c r="AP396" s="796"/>
      <c r="AQ396" s="796"/>
      <c r="AR396" s="796"/>
      <c r="AS396" s="796"/>
      <c r="AT396" s="796"/>
      <c r="AU396" s="796"/>
      <c r="AV396" s="796"/>
      <c r="AW396" s="796"/>
      <c r="AX396" s="796"/>
      <c r="AY396" s="796"/>
      <c r="AZ396" s="796"/>
      <c r="BA396" s="796"/>
      <c r="BB396" s="796"/>
      <c r="BC396" s="796"/>
      <c r="BD396" s="796"/>
      <c r="BE396" s="796"/>
      <c r="BF396" s="796"/>
      <c r="BG396" s="796"/>
      <c r="BH396" s="796"/>
      <c r="BI396" s="796"/>
      <c r="BJ396" s="796"/>
      <c r="BK396" s="796"/>
      <c r="BL396" s="796"/>
    </row>
    <row r="397" spans="1:64" ht="15" customHeight="1">
      <c r="A397" s="796" t="s">
        <v>1122</v>
      </c>
      <c r="B397" s="795" t="str">
        <f t="shared" si="105"/>
        <v>II</v>
      </c>
      <c r="C397" s="796" t="s">
        <v>1123</v>
      </c>
      <c r="D397" s="795" t="str">
        <f t="shared" si="106"/>
        <v>VII</v>
      </c>
      <c r="G397" s="796" t="s">
        <v>1124</v>
      </c>
      <c r="H397" s="795" t="str">
        <f t="shared" si="107"/>
        <v>II</v>
      </c>
      <c r="M397" s="796" t="s">
        <v>1125</v>
      </c>
      <c r="N397" s="796" t="str">
        <f t="shared" si="108"/>
        <v>II</v>
      </c>
      <c r="Q397" s="796" t="s">
        <v>1126</v>
      </c>
      <c r="R397" s="796" t="str">
        <f t="shared" si="109"/>
        <v>I</v>
      </c>
      <c r="S397" s="796" t="s">
        <v>1127</v>
      </c>
      <c r="T397" s="796" t="str">
        <f t="shared" si="110"/>
        <v>II</v>
      </c>
      <c r="Y397" s="796" t="s">
        <v>1128</v>
      </c>
      <c r="Z397" s="796">
        <f t="shared" si="112"/>
        <v>0</v>
      </c>
      <c r="AG397" s="796"/>
      <c r="AH397" s="796"/>
      <c r="AI397" s="796"/>
      <c r="AJ397" s="796"/>
      <c r="AK397" s="796"/>
      <c r="AL397" s="796"/>
      <c r="AM397" s="796"/>
      <c r="AN397" s="796"/>
      <c r="AO397" s="796"/>
      <c r="AP397" s="796"/>
      <c r="AQ397" s="796"/>
      <c r="AR397" s="796"/>
      <c r="AS397" s="796"/>
      <c r="AT397" s="796"/>
      <c r="AU397" s="796"/>
      <c r="AV397" s="796"/>
      <c r="AW397" s="796"/>
      <c r="AX397" s="796"/>
      <c r="AY397" s="796"/>
      <c r="AZ397" s="796"/>
      <c r="BA397" s="796"/>
      <c r="BB397" s="796"/>
      <c r="BC397" s="796"/>
      <c r="BD397" s="796"/>
      <c r="BE397" s="796"/>
      <c r="BF397" s="796"/>
      <c r="BG397" s="796"/>
      <c r="BH397" s="796"/>
      <c r="BI397" s="796"/>
      <c r="BJ397" s="796"/>
      <c r="BK397" s="796"/>
      <c r="BL397" s="796"/>
    </row>
    <row r="398" spans="1:64" ht="15" customHeight="1">
      <c r="A398" s="796" t="s">
        <v>1129</v>
      </c>
      <c r="B398" s="795" t="str">
        <f t="shared" si="105"/>
        <v>III</v>
      </c>
      <c r="C398" s="796" t="s">
        <v>1130</v>
      </c>
      <c r="D398" s="795" t="str">
        <f t="shared" si="106"/>
        <v>VII</v>
      </c>
      <c r="G398" s="796" t="s">
        <v>1131</v>
      </c>
      <c r="H398" s="795" t="str">
        <f t="shared" si="107"/>
        <v>III</v>
      </c>
      <c r="M398" s="796" t="s">
        <v>1132</v>
      </c>
      <c r="N398" s="796" t="str">
        <f t="shared" si="108"/>
        <v>I</v>
      </c>
      <c r="Q398" s="796" t="s">
        <v>1133</v>
      </c>
      <c r="R398" s="796" t="str">
        <f t="shared" si="109"/>
        <v>V</v>
      </c>
      <c r="S398" s="796" t="s">
        <v>1134</v>
      </c>
      <c r="T398" s="796" t="str">
        <f t="shared" si="110"/>
        <v>III</v>
      </c>
      <c r="Y398" s="796" t="s">
        <v>1135</v>
      </c>
      <c r="Z398" s="796" t="str">
        <f t="shared" si="112"/>
        <v>II</v>
      </c>
      <c r="AG398" s="796"/>
      <c r="AH398" s="796"/>
      <c r="AI398" s="796"/>
      <c r="AJ398" s="796"/>
      <c r="AK398" s="796"/>
      <c r="AL398" s="796"/>
      <c r="AM398" s="796"/>
      <c r="AN398" s="796"/>
      <c r="AO398" s="796"/>
      <c r="AP398" s="796"/>
      <c r="AQ398" s="796"/>
      <c r="AR398" s="796"/>
      <c r="AS398" s="796"/>
      <c r="AT398" s="796"/>
      <c r="AU398" s="796"/>
      <c r="AV398" s="796"/>
      <c r="AW398" s="796"/>
      <c r="AX398" s="796"/>
      <c r="AY398" s="796"/>
      <c r="AZ398" s="796"/>
      <c r="BA398" s="796"/>
      <c r="BB398" s="796"/>
      <c r="BC398" s="796"/>
      <c r="BD398" s="796"/>
      <c r="BE398" s="796"/>
      <c r="BF398" s="796"/>
      <c r="BG398" s="796"/>
      <c r="BH398" s="796"/>
      <c r="BI398" s="796"/>
      <c r="BJ398" s="796"/>
      <c r="BK398" s="796"/>
      <c r="BL398" s="796"/>
    </row>
    <row r="399" spans="1:64" ht="15" customHeight="1">
      <c r="A399" s="796" t="s">
        <v>1136</v>
      </c>
      <c r="B399" s="795" t="str">
        <f t="shared" si="105"/>
        <v>II</v>
      </c>
      <c r="C399" s="796" t="s">
        <v>1137</v>
      </c>
      <c r="D399" s="795" t="str">
        <f t="shared" si="106"/>
        <v>VII</v>
      </c>
      <c r="G399" s="796" t="s">
        <v>1138</v>
      </c>
      <c r="H399" s="795" t="str">
        <f t="shared" si="107"/>
        <v>III</v>
      </c>
      <c r="M399" s="796" t="s">
        <v>1139</v>
      </c>
      <c r="N399" s="796" t="str">
        <f t="shared" si="108"/>
        <v>V</v>
      </c>
      <c r="Q399" s="796" t="s">
        <v>1140</v>
      </c>
      <c r="R399" s="796" t="str">
        <f t="shared" si="109"/>
        <v>I</v>
      </c>
      <c r="S399" s="796" t="s">
        <v>1141</v>
      </c>
      <c r="T399" s="796" t="str">
        <f t="shared" si="110"/>
        <v>I</v>
      </c>
      <c r="Y399" s="796" t="s">
        <v>1142</v>
      </c>
      <c r="Z399" s="796" t="str">
        <f t="shared" si="112"/>
        <v>I</v>
      </c>
      <c r="AG399" s="796"/>
      <c r="AH399" s="796"/>
      <c r="AI399" s="796"/>
      <c r="AJ399" s="796"/>
      <c r="AK399" s="796"/>
      <c r="AL399" s="796"/>
      <c r="AM399" s="796"/>
      <c r="AN399" s="796"/>
      <c r="AO399" s="796"/>
      <c r="AP399" s="796"/>
      <c r="AQ399" s="796"/>
      <c r="AR399" s="796"/>
      <c r="AS399" s="796"/>
      <c r="AT399" s="796"/>
      <c r="AU399" s="796"/>
      <c r="AV399" s="796"/>
      <c r="AW399" s="796"/>
      <c r="AX399" s="796"/>
      <c r="AY399" s="796"/>
      <c r="AZ399" s="796"/>
      <c r="BA399" s="796"/>
      <c r="BB399" s="796"/>
      <c r="BC399" s="796"/>
      <c r="BD399" s="796"/>
      <c r="BE399" s="796"/>
      <c r="BF399" s="796"/>
      <c r="BG399" s="796"/>
      <c r="BH399" s="796"/>
      <c r="BI399" s="796"/>
      <c r="BJ399" s="796"/>
      <c r="BK399" s="796"/>
      <c r="BL399" s="796"/>
    </row>
    <row r="400" spans="1:64" ht="15" customHeight="1">
      <c r="A400" s="796" t="s">
        <v>1143</v>
      </c>
      <c r="B400" s="795" t="str">
        <f t="shared" si="105"/>
        <v>V</v>
      </c>
      <c r="C400" s="796" t="s">
        <v>1144</v>
      </c>
      <c r="D400" s="795" t="str">
        <f t="shared" si="106"/>
        <v>II</v>
      </c>
      <c r="G400" s="796" t="s">
        <v>1145</v>
      </c>
      <c r="H400" s="795" t="str">
        <f t="shared" si="107"/>
        <v>IV</v>
      </c>
      <c r="M400" s="796" t="s">
        <v>1146</v>
      </c>
      <c r="N400" s="796" t="str">
        <f t="shared" si="108"/>
        <v>V</v>
      </c>
      <c r="Q400" s="796" t="s">
        <v>1147</v>
      </c>
      <c r="R400" s="796" t="str">
        <f t="shared" si="109"/>
        <v>III</v>
      </c>
      <c r="S400" s="796" t="s">
        <v>1148</v>
      </c>
      <c r="T400" s="796" t="str">
        <f t="shared" si="110"/>
        <v>I</v>
      </c>
      <c r="Y400" s="796" t="s">
        <v>1149</v>
      </c>
      <c r="Z400" s="796" t="str">
        <f t="shared" si="112"/>
        <v>I</v>
      </c>
      <c r="AG400" s="796"/>
      <c r="AH400" s="796"/>
      <c r="AI400" s="796"/>
      <c r="AJ400" s="796"/>
      <c r="AK400" s="796"/>
      <c r="AL400" s="796"/>
      <c r="AM400" s="796"/>
      <c r="AN400" s="796"/>
      <c r="AO400" s="796"/>
      <c r="AP400" s="796"/>
      <c r="AQ400" s="796"/>
      <c r="AR400" s="796"/>
      <c r="AS400" s="796"/>
      <c r="AT400" s="796"/>
      <c r="AU400" s="796"/>
      <c r="AV400" s="796"/>
      <c r="AW400" s="796"/>
      <c r="AX400" s="796"/>
      <c r="AY400" s="796"/>
      <c r="AZ400" s="796"/>
      <c r="BA400" s="796"/>
      <c r="BB400" s="796"/>
      <c r="BC400" s="796"/>
      <c r="BD400" s="796"/>
      <c r="BE400" s="796"/>
      <c r="BF400" s="796"/>
      <c r="BG400" s="796"/>
      <c r="BH400" s="796"/>
      <c r="BI400" s="796"/>
      <c r="BJ400" s="796"/>
      <c r="BK400" s="796"/>
      <c r="BL400" s="796"/>
    </row>
    <row r="401" spans="1:64" ht="15" customHeight="1">
      <c r="A401" s="796" t="s">
        <v>1150</v>
      </c>
      <c r="B401" s="795" t="str">
        <f t="shared" si="105"/>
        <v>II</v>
      </c>
      <c r="C401" s="796" t="s">
        <v>1151</v>
      </c>
      <c r="D401" s="795" t="str">
        <f t="shared" si="106"/>
        <v>VII</v>
      </c>
      <c r="G401" s="796" t="s">
        <v>1152</v>
      </c>
      <c r="H401" s="795" t="str">
        <f t="shared" si="107"/>
        <v>I</v>
      </c>
      <c r="M401" s="796" t="s">
        <v>1153</v>
      </c>
      <c r="N401" s="796" t="str">
        <f t="shared" si="108"/>
        <v>II</v>
      </c>
      <c r="Q401" s="796" t="s">
        <v>1154</v>
      </c>
      <c r="R401" s="796" t="str">
        <f t="shared" si="109"/>
        <v>II</v>
      </c>
      <c r="S401" s="796" t="s">
        <v>1155</v>
      </c>
      <c r="T401" s="796" t="str">
        <f t="shared" si="110"/>
        <v>IV</v>
      </c>
      <c r="Y401" s="796" t="s">
        <v>1156</v>
      </c>
      <c r="Z401" s="796" t="str">
        <f t="shared" si="112"/>
        <v>II</v>
      </c>
      <c r="AG401" s="796"/>
      <c r="AH401" s="796"/>
      <c r="AI401" s="796"/>
      <c r="AJ401" s="796"/>
      <c r="AK401" s="796"/>
      <c r="AL401" s="796"/>
      <c r="AM401" s="796"/>
      <c r="AN401" s="796"/>
      <c r="AO401" s="796"/>
      <c r="AP401" s="796"/>
      <c r="AQ401" s="796"/>
      <c r="AR401" s="796"/>
      <c r="AS401" s="796"/>
      <c r="AT401" s="796"/>
      <c r="AU401" s="796"/>
      <c r="AV401" s="796"/>
      <c r="AW401" s="796"/>
      <c r="AX401" s="796"/>
      <c r="AY401" s="796"/>
      <c r="AZ401" s="796"/>
      <c r="BA401" s="796"/>
      <c r="BB401" s="796"/>
      <c r="BC401" s="796"/>
      <c r="BD401" s="796"/>
      <c r="BE401" s="796"/>
      <c r="BF401" s="796"/>
      <c r="BG401" s="796"/>
      <c r="BH401" s="796"/>
      <c r="BI401" s="796"/>
      <c r="BJ401" s="796"/>
      <c r="BK401" s="796"/>
      <c r="BL401" s="796"/>
    </row>
    <row r="402" spans="1:64" ht="15" customHeight="1">
      <c r="A402" s="796" t="s">
        <v>1157</v>
      </c>
      <c r="B402" s="795" t="str">
        <f t="shared" si="105"/>
        <v>II</v>
      </c>
      <c r="C402" s="796" t="s">
        <v>1158</v>
      </c>
      <c r="D402" s="795" t="str">
        <f t="shared" si="106"/>
        <v>II</v>
      </c>
      <c r="G402" s="796" t="s">
        <v>1159</v>
      </c>
      <c r="H402" s="795" t="str">
        <f t="shared" si="107"/>
        <v>I</v>
      </c>
      <c r="M402" s="796" t="s">
        <v>1160</v>
      </c>
      <c r="N402" s="796" t="str">
        <f t="shared" si="108"/>
        <v>I</v>
      </c>
      <c r="Q402" s="796" t="s">
        <v>1161</v>
      </c>
      <c r="R402" s="796" t="str">
        <f t="shared" si="109"/>
        <v>II</v>
      </c>
      <c r="S402" s="796" t="s">
        <v>1162</v>
      </c>
      <c r="T402" s="796" t="str">
        <f t="shared" si="110"/>
        <v>II</v>
      </c>
      <c r="Y402" s="796" t="s">
        <v>1163</v>
      </c>
      <c r="Z402" s="796" t="str">
        <f t="shared" si="112"/>
        <v>I</v>
      </c>
      <c r="AG402" s="796"/>
      <c r="AH402" s="796"/>
      <c r="AI402" s="796"/>
      <c r="AJ402" s="796"/>
      <c r="AK402" s="796"/>
      <c r="AL402" s="796"/>
      <c r="AM402" s="796"/>
      <c r="AN402" s="796"/>
      <c r="AO402" s="796"/>
      <c r="AP402" s="796"/>
      <c r="AQ402" s="796"/>
      <c r="AR402" s="796"/>
      <c r="AS402" s="796"/>
      <c r="AT402" s="796"/>
      <c r="AU402" s="796"/>
      <c r="AV402" s="796"/>
      <c r="AW402" s="796"/>
      <c r="AX402" s="796"/>
      <c r="AY402" s="796"/>
      <c r="AZ402" s="796"/>
      <c r="BA402" s="796"/>
      <c r="BB402" s="796"/>
      <c r="BC402" s="796"/>
      <c r="BD402" s="796"/>
      <c r="BE402" s="796"/>
      <c r="BF402" s="796"/>
      <c r="BG402" s="796"/>
      <c r="BH402" s="796"/>
      <c r="BI402" s="796"/>
      <c r="BJ402" s="796"/>
      <c r="BK402" s="796"/>
      <c r="BL402" s="796"/>
    </row>
    <row r="403" spans="1:64" ht="15" customHeight="1">
      <c r="A403" s="796" t="s">
        <v>1164</v>
      </c>
      <c r="B403" s="795" t="str">
        <f t="shared" si="105"/>
        <v>VI</v>
      </c>
      <c r="C403" s="796" t="s">
        <v>1165</v>
      </c>
      <c r="D403" s="795" t="str">
        <f t="shared" si="106"/>
        <v>I</v>
      </c>
      <c r="G403" s="796" t="s">
        <v>1166</v>
      </c>
      <c r="H403" s="795" t="str">
        <f t="shared" si="107"/>
        <v>I</v>
      </c>
      <c r="M403" s="796" t="s">
        <v>1167</v>
      </c>
      <c r="N403" s="796" t="str">
        <f t="shared" si="108"/>
        <v>V</v>
      </c>
      <c r="Q403" s="796" t="s">
        <v>1168</v>
      </c>
      <c r="R403" s="796" t="str">
        <f t="shared" si="109"/>
        <v>I</v>
      </c>
      <c r="S403" s="796" t="s">
        <v>1169</v>
      </c>
      <c r="T403" s="796" t="str">
        <f t="shared" si="110"/>
        <v>IV</v>
      </c>
      <c r="AG403" s="796"/>
      <c r="AH403" s="796"/>
      <c r="AI403" s="796"/>
      <c r="AJ403" s="796"/>
      <c r="AK403" s="796"/>
      <c r="AL403" s="796"/>
      <c r="AM403" s="796"/>
      <c r="AN403" s="796"/>
      <c r="AO403" s="796"/>
      <c r="AP403" s="796"/>
      <c r="AQ403" s="796"/>
      <c r="AR403" s="796"/>
      <c r="AS403" s="796"/>
      <c r="AT403" s="796"/>
      <c r="AU403" s="796"/>
      <c r="AV403" s="796"/>
      <c r="AW403" s="796"/>
      <c r="AX403" s="796"/>
      <c r="AY403" s="796"/>
      <c r="AZ403" s="796"/>
      <c r="BA403" s="796"/>
      <c r="BB403" s="796"/>
      <c r="BC403" s="796"/>
      <c r="BD403" s="796"/>
      <c r="BE403" s="796"/>
      <c r="BF403" s="796"/>
      <c r="BG403" s="796"/>
      <c r="BH403" s="796"/>
      <c r="BI403" s="796"/>
      <c r="BJ403" s="796"/>
      <c r="BK403" s="796"/>
      <c r="BL403" s="796"/>
    </row>
    <row r="404" spans="1:64" ht="15" customHeight="1">
      <c r="A404" s="796" t="s">
        <v>1170</v>
      </c>
      <c r="B404" s="795" t="str">
        <f t="shared" si="105"/>
        <v>III</v>
      </c>
      <c r="C404" s="796" t="s">
        <v>1171</v>
      </c>
      <c r="D404" s="795" t="str">
        <f t="shared" si="106"/>
        <v>VII</v>
      </c>
      <c r="G404" s="796" t="s">
        <v>1172</v>
      </c>
      <c r="H404" s="795" t="str">
        <f t="shared" si="107"/>
        <v>III</v>
      </c>
      <c r="M404" s="796" t="s">
        <v>1173</v>
      </c>
      <c r="N404" s="796" t="str">
        <f t="shared" si="108"/>
        <v>I</v>
      </c>
      <c r="Q404" s="796" t="s">
        <v>1174</v>
      </c>
      <c r="R404" s="796" t="str">
        <f t="shared" si="109"/>
        <v>II</v>
      </c>
      <c r="S404" s="796" t="s">
        <v>1175</v>
      </c>
      <c r="T404" s="796" t="str">
        <f t="shared" si="110"/>
        <v>I</v>
      </c>
      <c r="AG404" s="796"/>
      <c r="AH404" s="796"/>
      <c r="AI404" s="796"/>
      <c r="AJ404" s="796"/>
      <c r="AK404" s="796"/>
      <c r="AL404" s="796"/>
      <c r="AM404" s="796"/>
      <c r="AN404" s="796"/>
      <c r="AO404" s="796"/>
      <c r="AP404" s="796"/>
      <c r="AQ404" s="796"/>
      <c r="AR404" s="796"/>
      <c r="AS404" s="796"/>
      <c r="AT404" s="796"/>
      <c r="AU404" s="796"/>
      <c r="AV404" s="796"/>
      <c r="AW404" s="796"/>
      <c r="AX404" s="796"/>
      <c r="AY404" s="796"/>
      <c r="AZ404" s="796"/>
      <c r="BA404" s="796"/>
      <c r="BB404" s="796"/>
      <c r="BC404" s="796"/>
      <c r="BD404" s="796"/>
      <c r="BE404" s="796"/>
      <c r="BF404" s="796"/>
      <c r="BG404" s="796"/>
      <c r="BH404" s="796"/>
      <c r="BI404" s="796"/>
      <c r="BJ404" s="796"/>
      <c r="BK404" s="796"/>
      <c r="BL404" s="796"/>
    </row>
    <row r="405" spans="1:64" ht="15" customHeight="1">
      <c r="A405" s="796" t="s">
        <v>1176</v>
      </c>
      <c r="B405" s="795" t="str">
        <f t="shared" si="105"/>
        <v>II</v>
      </c>
      <c r="C405" s="796" t="s">
        <v>1177</v>
      </c>
      <c r="D405" s="795" t="str">
        <f t="shared" si="106"/>
        <v>VII</v>
      </c>
      <c r="G405" s="796" t="s">
        <v>1178</v>
      </c>
      <c r="H405" s="795" t="str">
        <f t="shared" si="107"/>
        <v>II</v>
      </c>
      <c r="M405" s="796" t="s">
        <v>1179</v>
      </c>
      <c r="N405" s="796" t="str">
        <f t="shared" si="108"/>
        <v>I</v>
      </c>
      <c r="Q405" s="796" t="s">
        <v>1180</v>
      </c>
      <c r="R405" s="796" t="str">
        <f t="shared" si="109"/>
        <v>II</v>
      </c>
      <c r="S405" s="796" t="s">
        <v>1181</v>
      </c>
      <c r="T405" s="796" t="str">
        <f t="shared" si="110"/>
        <v>III</v>
      </c>
      <c r="AG405" s="796"/>
      <c r="AH405" s="796"/>
      <c r="AI405" s="796"/>
      <c r="AJ405" s="796"/>
      <c r="AK405" s="796"/>
      <c r="AL405" s="796"/>
      <c r="AM405" s="796"/>
      <c r="AN405" s="796"/>
      <c r="AO405" s="796"/>
      <c r="AP405" s="796"/>
      <c r="AQ405" s="796"/>
      <c r="AR405" s="796"/>
      <c r="AS405" s="796"/>
      <c r="AT405" s="796"/>
      <c r="AU405" s="796"/>
      <c r="AV405" s="796"/>
      <c r="AW405" s="796"/>
      <c r="AX405" s="796"/>
      <c r="AY405" s="796"/>
      <c r="AZ405" s="796"/>
      <c r="BA405" s="796"/>
      <c r="BB405" s="796"/>
      <c r="BC405" s="796"/>
      <c r="BD405" s="796"/>
      <c r="BE405" s="796"/>
      <c r="BF405" s="796"/>
      <c r="BG405" s="796"/>
      <c r="BH405" s="796"/>
      <c r="BI405" s="796"/>
      <c r="BJ405" s="796"/>
      <c r="BK405" s="796"/>
      <c r="BL405" s="796"/>
    </row>
    <row r="406" spans="1:64" ht="15" customHeight="1">
      <c r="A406" s="796" t="s">
        <v>1182</v>
      </c>
      <c r="B406" s="795" t="str">
        <f t="shared" si="105"/>
        <v>II</v>
      </c>
      <c r="C406" s="796" t="s">
        <v>1183</v>
      </c>
      <c r="D406" s="795" t="str">
        <f t="shared" si="106"/>
        <v>I</v>
      </c>
      <c r="M406" s="796" t="s">
        <v>1184</v>
      </c>
      <c r="N406" s="796" t="str">
        <f t="shared" si="108"/>
        <v>I</v>
      </c>
      <c r="Q406" s="796" t="s">
        <v>1185</v>
      </c>
      <c r="R406" s="796" t="str">
        <f t="shared" si="109"/>
        <v>IV</v>
      </c>
      <c r="S406" s="796" t="s">
        <v>1186</v>
      </c>
      <c r="T406" s="796" t="str">
        <f t="shared" si="110"/>
        <v>II</v>
      </c>
      <c r="AG406" s="796"/>
      <c r="AH406" s="796"/>
      <c r="AI406" s="796"/>
      <c r="AJ406" s="796"/>
      <c r="AK406" s="796"/>
      <c r="AL406" s="796"/>
      <c r="AM406" s="796"/>
      <c r="AN406" s="796"/>
      <c r="AO406" s="796"/>
      <c r="AP406" s="796"/>
      <c r="AQ406" s="796"/>
      <c r="AR406" s="796"/>
      <c r="AS406" s="796"/>
      <c r="AT406" s="796"/>
      <c r="AU406" s="796"/>
      <c r="AV406" s="796"/>
      <c r="AW406" s="796"/>
      <c r="AX406" s="796"/>
      <c r="AY406" s="796"/>
      <c r="AZ406" s="796"/>
      <c r="BA406" s="796"/>
      <c r="BB406" s="796"/>
      <c r="BC406" s="796"/>
      <c r="BD406" s="796"/>
      <c r="BE406" s="796"/>
      <c r="BF406" s="796"/>
      <c r="BG406" s="796"/>
      <c r="BH406" s="796"/>
      <c r="BI406" s="796"/>
      <c r="BJ406" s="796"/>
      <c r="BK406" s="796"/>
      <c r="BL406" s="796"/>
    </row>
    <row r="407" spans="1:64" ht="15" customHeight="1">
      <c r="A407" s="796" t="s">
        <v>1187</v>
      </c>
      <c r="B407" s="795" t="str">
        <f t="shared" si="105"/>
        <v>III</v>
      </c>
      <c r="C407" s="796" t="s">
        <v>1188</v>
      </c>
      <c r="D407" s="795" t="str">
        <f t="shared" si="106"/>
        <v>II</v>
      </c>
      <c r="M407" s="796" t="s">
        <v>1189</v>
      </c>
      <c r="N407" s="796" t="str">
        <f t="shared" si="108"/>
        <v>I</v>
      </c>
      <c r="Q407" s="796" t="s">
        <v>1190</v>
      </c>
      <c r="R407" s="796" t="str">
        <f t="shared" si="109"/>
        <v>I</v>
      </c>
      <c r="S407" s="796" t="s">
        <v>1191</v>
      </c>
      <c r="T407" s="796" t="str">
        <f t="shared" si="110"/>
        <v>IV</v>
      </c>
      <c r="AG407" s="796"/>
      <c r="AH407" s="796"/>
      <c r="AI407" s="796"/>
      <c r="AJ407" s="796"/>
      <c r="AK407" s="796"/>
      <c r="AL407" s="796"/>
      <c r="AM407" s="796"/>
      <c r="AN407" s="796"/>
      <c r="AO407" s="796"/>
      <c r="AP407" s="796"/>
      <c r="AQ407" s="796"/>
      <c r="AR407" s="796"/>
      <c r="AS407" s="796"/>
      <c r="AT407" s="796"/>
      <c r="AU407" s="796"/>
      <c r="AV407" s="796"/>
      <c r="AW407" s="796"/>
      <c r="AX407" s="796"/>
      <c r="AY407" s="796"/>
      <c r="AZ407" s="796"/>
      <c r="BA407" s="796"/>
      <c r="BB407" s="796"/>
      <c r="BC407" s="796"/>
      <c r="BD407" s="796"/>
      <c r="BE407" s="796"/>
      <c r="BF407" s="796"/>
      <c r="BG407" s="796"/>
      <c r="BH407" s="796"/>
      <c r="BI407" s="796"/>
      <c r="BJ407" s="796"/>
      <c r="BK407" s="796"/>
      <c r="BL407" s="796"/>
    </row>
    <row r="408" spans="1:64" ht="15" customHeight="1">
      <c r="A408" s="796" t="s">
        <v>1192</v>
      </c>
      <c r="B408" s="795" t="str">
        <f t="shared" si="105"/>
        <v>III</v>
      </c>
      <c r="C408" s="796" t="s">
        <v>1193</v>
      </c>
      <c r="D408" s="795" t="str">
        <f t="shared" si="106"/>
        <v>I</v>
      </c>
      <c r="M408" s="796" t="s">
        <v>1194</v>
      </c>
      <c r="N408" s="796" t="str">
        <f t="shared" si="108"/>
        <v>II</v>
      </c>
      <c r="Q408" s="796" t="s">
        <v>1195</v>
      </c>
      <c r="R408" s="796" t="str">
        <f t="shared" si="109"/>
        <v>I</v>
      </c>
      <c r="S408" s="796" t="s">
        <v>1196</v>
      </c>
      <c r="T408" s="796" t="str">
        <f t="shared" si="110"/>
        <v>III</v>
      </c>
      <c r="AG408" s="796"/>
      <c r="AH408" s="796"/>
      <c r="AI408" s="796"/>
      <c r="AJ408" s="796"/>
      <c r="AK408" s="796"/>
      <c r="AL408" s="796"/>
      <c r="AM408" s="796"/>
      <c r="AN408" s="796"/>
      <c r="AO408" s="796"/>
      <c r="AP408" s="796"/>
      <c r="AQ408" s="796"/>
      <c r="AR408" s="796"/>
      <c r="AS408" s="796"/>
      <c r="AT408" s="796"/>
      <c r="AU408" s="796"/>
      <c r="AV408" s="796"/>
      <c r="AW408" s="796"/>
      <c r="AX408" s="796"/>
      <c r="AY408" s="796"/>
      <c r="AZ408" s="796"/>
      <c r="BA408" s="796"/>
      <c r="BB408" s="796"/>
      <c r="BC408" s="796"/>
      <c r="BD408" s="796"/>
      <c r="BE408" s="796"/>
      <c r="BF408" s="796"/>
      <c r="BG408" s="796"/>
      <c r="BH408" s="796"/>
      <c r="BI408" s="796"/>
      <c r="BJ408" s="796"/>
      <c r="BK408" s="796"/>
      <c r="BL408" s="796"/>
    </row>
    <row r="409" spans="1:64" ht="15" customHeight="1">
      <c r="A409" s="796" t="s">
        <v>1197</v>
      </c>
      <c r="B409" s="795" t="str">
        <f t="shared" si="105"/>
        <v>III</v>
      </c>
      <c r="C409" s="796" t="s">
        <v>1198</v>
      </c>
      <c r="D409" s="795" t="str">
        <f t="shared" si="106"/>
        <v>V</v>
      </c>
      <c r="M409" s="796" t="s">
        <v>1199</v>
      </c>
      <c r="N409" s="796" t="str">
        <f t="shared" si="108"/>
        <v>III</v>
      </c>
      <c r="Q409" s="796" t="s">
        <v>1200</v>
      </c>
      <c r="R409" s="796" t="str">
        <f t="shared" si="109"/>
        <v>III</v>
      </c>
      <c r="S409" s="796" t="s">
        <v>1201</v>
      </c>
      <c r="T409" s="796" t="str">
        <f t="shared" si="110"/>
        <v>I</v>
      </c>
      <c r="AG409" s="796"/>
      <c r="AH409" s="796"/>
      <c r="AI409" s="796"/>
      <c r="AJ409" s="796"/>
      <c r="AK409" s="796"/>
      <c r="AL409" s="796"/>
      <c r="AM409" s="796"/>
      <c r="AN409" s="796"/>
      <c r="AO409" s="796"/>
      <c r="AP409" s="796"/>
      <c r="AQ409" s="796"/>
      <c r="AR409" s="796"/>
      <c r="AS409" s="796"/>
      <c r="AT409" s="796"/>
      <c r="AU409" s="796"/>
      <c r="AV409" s="796"/>
      <c r="AW409" s="796"/>
      <c r="AX409" s="796"/>
      <c r="AY409" s="796"/>
      <c r="AZ409" s="796"/>
      <c r="BA409" s="796"/>
      <c r="BB409" s="796"/>
      <c r="BC409" s="796"/>
      <c r="BD409" s="796"/>
      <c r="BE409" s="796"/>
      <c r="BF409" s="796"/>
      <c r="BG409" s="796"/>
      <c r="BH409" s="796"/>
      <c r="BI409" s="796"/>
      <c r="BJ409" s="796"/>
      <c r="BK409" s="796"/>
      <c r="BL409" s="796"/>
    </row>
    <row r="410" spans="1:64" ht="15" customHeight="1">
      <c r="A410" s="796" t="s">
        <v>1202</v>
      </c>
      <c r="B410" s="795" t="str">
        <f t="shared" si="105"/>
        <v>V</v>
      </c>
      <c r="C410" s="796" t="s">
        <v>1203</v>
      </c>
      <c r="D410" s="795" t="str">
        <f t="shared" si="106"/>
        <v>III</v>
      </c>
      <c r="M410" s="796" t="s">
        <v>1204</v>
      </c>
      <c r="N410" s="796" t="str">
        <f t="shared" si="108"/>
        <v>IV</v>
      </c>
      <c r="Q410" s="796" t="s">
        <v>1205</v>
      </c>
      <c r="R410" s="796" t="str">
        <f t="shared" si="109"/>
        <v>I</v>
      </c>
      <c r="S410" s="796" t="s">
        <v>1206</v>
      </c>
      <c r="T410" s="796" t="str">
        <f t="shared" si="110"/>
        <v>I</v>
      </c>
      <c r="AG410" s="796"/>
      <c r="AH410" s="796"/>
      <c r="AI410" s="796"/>
      <c r="AJ410" s="796"/>
      <c r="AK410" s="796"/>
      <c r="AL410" s="796"/>
      <c r="AM410" s="796"/>
      <c r="AN410" s="796"/>
      <c r="AO410" s="796"/>
      <c r="AP410" s="796"/>
      <c r="AQ410" s="796"/>
      <c r="AR410" s="796"/>
      <c r="AS410" s="796"/>
      <c r="AT410" s="796"/>
      <c r="AU410" s="796"/>
      <c r="AV410" s="796"/>
      <c r="AW410" s="796"/>
      <c r="AX410" s="796"/>
      <c r="AY410" s="796"/>
      <c r="AZ410" s="796"/>
      <c r="BA410" s="796"/>
      <c r="BB410" s="796"/>
      <c r="BC410" s="796"/>
      <c r="BD410" s="796"/>
      <c r="BE410" s="796"/>
      <c r="BF410" s="796"/>
      <c r="BG410" s="796"/>
      <c r="BH410" s="796"/>
      <c r="BI410" s="796"/>
      <c r="BJ410" s="796"/>
      <c r="BK410" s="796"/>
      <c r="BL410" s="796"/>
    </row>
    <row r="411" spans="1:64" ht="15" customHeight="1">
      <c r="A411" s="796" t="s">
        <v>1207</v>
      </c>
      <c r="B411" s="795" t="str">
        <f t="shared" si="105"/>
        <v>VI</v>
      </c>
      <c r="C411" s="796" t="s">
        <v>1208</v>
      </c>
      <c r="D411" s="795" t="str">
        <f t="shared" si="106"/>
        <v>IV</v>
      </c>
      <c r="M411" s="796" t="s">
        <v>1209</v>
      </c>
      <c r="N411" s="796" t="str">
        <f t="shared" si="108"/>
        <v>III</v>
      </c>
      <c r="Q411" s="796" t="s">
        <v>1210</v>
      </c>
      <c r="R411" s="796" t="str">
        <f t="shared" si="109"/>
        <v>I</v>
      </c>
      <c r="S411" s="796" t="s">
        <v>1211</v>
      </c>
      <c r="T411" s="796" t="str">
        <f t="shared" si="110"/>
        <v>V</v>
      </c>
      <c r="AG411" s="796"/>
      <c r="AH411" s="796"/>
      <c r="AI411" s="796"/>
      <c r="AJ411" s="796"/>
      <c r="AK411" s="796"/>
      <c r="AL411" s="796"/>
      <c r="AM411" s="796"/>
      <c r="AN411" s="796"/>
      <c r="AO411" s="796"/>
      <c r="AP411" s="796"/>
      <c r="AQ411" s="796"/>
      <c r="AR411" s="796"/>
      <c r="AS411" s="796"/>
      <c r="AT411" s="796"/>
      <c r="AU411" s="796"/>
      <c r="AV411" s="796"/>
      <c r="AW411" s="796"/>
      <c r="AX411" s="796"/>
      <c r="AY411" s="796"/>
      <c r="AZ411" s="796"/>
      <c r="BA411" s="796"/>
      <c r="BB411" s="796"/>
      <c r="BC411" s="796"/>
      <c r="BD411" s="796"/>
      <c r="BE411" s="796"/>
      <c r="BF411" s="796"/>
      <c r="BG411" s="796"/>
      <c r="BH411" s="796"/>
      <c r="BI411" s="796"/>
      <c r="BJ411" s="796"/>
      <c r="BK411" s="796"/>
      <c r="BL411" s="796"/>
    </row>
    <row r="412" spans="1:64" ht="15" customHeight="1">
      <c r="A412" s="796" t="s">
        <v>1212</v>
      </c>
      <c r="B412" s="795" t="str">
        <f t="shared" si="105"/>
        <v>I</v>
      </c>
      <c r="C412" s="796" t="s">
        <v>1213</v>
      </c>
      <c r="D412" s="795" t="str">
        <f t="shared" si="106"/>
        <v>I</v>
      </c>
      <c r="M412" s="796" t="s">
        <v>1214</v>
      </c>
      <c r="N412" s="796" t="str">
        <f t="shared" si="108"/>
        <v>II</v>
      </c>
      <c r="Q412" s="796" t="s">
        <v>1215</v>
      </c>
      <c r="R412" s="796" t="str">
        <f t="shared" si="109"/>
        <v>I</v>
      </c>
      <c r="S412" s="796" t="s">
        <v>1216</v>
      </c>
      <c r="T412" s="796" t="str">
        <f t="shared" si="110"/>
        <v>II</v>
      </c>
      <c r="AG412" s="796"/>
      <c r="AH412" s="796"/>
      <c r="AI412" s="796"/>
      <c r="AJ412" s="796"/>
      <c r="AK412" s="796"/>
      <c r="AL412" s="796"/>
      <c r="AM412" s="796"/>
      <c r="AN412" s="796"/>
      <c r="AO412" s="796"/>
      <c r="AP412" s="796"/>
      <c r="AQ412" s="796"/>
      <c r="AR412" s="796"/>
      <c r="AS412" s="796"/>
      <c r="AT412" s="796"/>
      <c r="AU412" s="796"/>
      <c r="AV412" s="796"/>
      <c r="AW412" s="796"/>
      <c r="AX412" s="796"/>
      <c r="AY412" s="796"/>
      <c r="AZ412" s="796"/>
      <c r="BA412" s="796"/>
      <c r="BB412" s="796"/>
      <c r="BC412" s="796"/>
      <c r="BD412" s="796"/>
      <c r="BE412" s="796"/>
      <c r="BF412" s="796"/>
      <c r="BG412" s="796"/>
      <c r="BH412" s="796"/>
      <c r="BI412" s="796"/>
      <c r="BJ412" s="796"/>
      <c r="BK412" s="796"/>
      <c r="BL412" s="796"/>
    </row>
    <row r="413" spans="1:64" ht="15" customHeight="1">
      <c r="A413" s="796" t="s">
        <v>1217</v>
      </c>
      <c r="B413" s="795" t="str">
        <f t="shared" si="105"/>
        <v>III</v>
      </c>
      <c r="C413" s="796" t="s">
        <v>1218</v>
      </c>
      <c r="D413" s="795" t="str">
        <f t="shared" si="106"/>
        <v>II</v>
      </c>
      <c r="M413" s="796" t="s">
        <v>1219</v>
      </c>
      <c r="N413" s="796" t="str">
        <f t="shared" si="108"/>
        <v>VI</v>
      </c>
      <c r="Q413" s="796" t="s">
        <v>1220</v>
      </c>
      <c r="R413" s="796" t="str">
        <f t="shared" si="109"/>
        <v>I</v>
      </c>
      <c r="S413" s="796" t="s">
        <v>1221</v>
      </c>
      <c r="T413" s="796" t="str">
        <f t="shared" si="110"/>
        <v>II</v>
      </c>
      <c r="AG413" s="796"/>
      <c r="AH413" s="796"/>
      <c r="AI413" s="796"/>
      <c r="AJ413" s="796"/>
      <c r="AK413" s="796"/>
      <c r="AL413" s="796"/>
      <c r="AM413" s="796"/>
      <c r="AN413" s="796"/>
      <c r="AO413" s="796"/>
      <c r="AP413" s="796"/>
      <c r="AQ413" s="796"/>
      <c r="AR413" s="796"/>
      <c r="AS413" s="796"/>
      <c r="AT413" s="796"/>
      <c r="AU413" s="796"/>
      <c r="AV413" s="796"/>
      <c r="AW413" s="796"/>
      <c r="AX413" s="796"/>
      <c r="AY413" s="796"/>
      <c r="AZ413" s="796"/>
      <c r="BA413" s="796"/>
      <c r="BB413" s="796"/>
      <c r="BC413" s="796"/>
      <c r="BD413" s="796"/>
      <c r="BE413" s="796"/>
      <c r="BF413" s="796"/>
      <c r="BG413" s="796"/>
      <c r="BH413" s="796"/>
      <c r="BI413" s="796"/>
      <c r="BJ413" s="796"/>
      <c r="BK413" s="796"/>
      <c r="BL413" s="796"/>
    </row>
    <row r="414" spans="1:64" ht="15" customHeight="1">
      <c r="A414" s="796" t="s">
        <v>1222</v>
      </c>
      <c r="B414" s="795" t="str">
        <f t="shared" si="105"/>
        <v>III</v>
      </c>
      <c r="C414" s="796" t="s">
        <v>1223</v>
      </c>
      <c r="D414" s="795" t="str">
        <f t="shared" si="106"/>
        <v>II</v>
      </c>
      <c r="M414" s="796" t="s">
        <v>1224</v>
      </c>
      <c r="N414" s="796" t="str">
        <f t="shared" si="108"/>
        <v>IV</v>
      </c>
      <c r="Q414" s="796" t="s">
        <v>1225</v>
      </c>
      <c r="R414" s="796" t="str">
        <f t="shared" si="109"/>
        <v>I</v>
      </c>
      <c r="S414" s="796" t="s">
        <v>1226</v>
      </c>
      <c r="T414" s="796" t="str">
        <f t="shared" si="110"/>
        <v>I</v>
      </c>
      <c r="AG414" s="796"/>
      <c r="AH414" s="796"/>
      <c r="AI414" s="796"/>
      <c r="AJ414" s="796"/>
      <c r="AK414" s="796"/>
      <c r="AL414" s="796"/>
      <c r="AM414" s="796"/>
      <c r="AN414" s="796"/>
      <c r="AO414" s="796"/>
      <c r="AP414" s="796"/>
      <c r="AQ414" s="796"/>
      <c r="AR414" s="796"/>
      <c r="AS414" s="796"/>
      <c r="AT414" s="796"/>
      <c r="AU414" s="796"/>
      <c r="AV414" s="796"/>
      <c r="AW414" s="796"/>
      <c r="AX414" s="796"/>
      <c r="AY414" s="796"/>
      <c r="AZ414" s="796"/>
      <c r="BA414" s="796"/>
      <c r="BB414" s="796"/>
      <c r="BC414" s="796"/>
      <c r="BD414" s="796"/>
      <c r="BE414" s="796"/>
      <c r="BF414" s="796"/>
      <c r="BG414" s="796"/>
      <c r="BH414" s="796"/>
      <c r="BI414" s="796"/>
      <c r="BJ414" s="796"/>
      <c r="BK414" s="796"/>
      <c r="BL414" s="796"/>
    </row>
    <row r="415" spans="1:64" ht="15" customHeight="1">
      <c r="A415" s="796" t="s">
        <v>1227</v>
      </c>
      <c r="B415" s="795" t="str">
        <f t="shared" si="105"/>
        <v>V</v>
      </c>
      <c r="C415" s="796" t="s">
        <v>1228</v>
      </c>
      <c r="D415" s="795" t="str">
        <f t="shared" si="106"/>
        <v>I</v>
      </c>
      <c r="M415" s="796" t="s">
        <v>1229</v>
      </c>
      <c r="N415" s="796" t="str">
        <f t="shared" si="108"/>
        <v>II</v>
      </c>
      <c r="Q415" s="796" t="s">
        <v>1230</v>
      </c>
      <c r="R415" s="796" t="str">
        <f t="shared" si="109"/>
        <v>IV</v>
      </c>
      <c r="S415" s="796" t="s">
        <v>1231</v>
      </c>
      <c r="T415" s="796" t="str">
        <f t="shared" si="110"/>
        <v>II</v>
      </c>
      <c r="AG415" s="796"/>
      <c r="AH415" s="796"/>
      <c r="AI415" s="796"/>
      <c r="AJ415" s="796"/>
      <c r="AK415" s="796"/>
      <c r="AL415" s="796"/>
      <c r="AM415" s="796"/>
      <c r="AN415" s="796"/>
      <c r="AO415" s="796"/>
      <c r="AP415" s="796"/>
      <c r="AQ415" s="796"/>
      <c r="AR415" s="796"/>
      <c r="AS415" s="796"/>
      <c r="AT415" s="796"/>
      <c r="AU415" s="796"/>
      <c r="AV415" s="796"/>
      <c r="AW415" s="796"/>
      <c r="AX415" s="796"/>
      <c r="AY415" s="796"/>
      <c r="AZ415" s="796"/>
      <c r="BA415" s="796"/>
      <c r="BB415" s="796"/>
      <c r="BC415" s="796"/>
      <c r="BD415" s="796"/>
      <c r="BE415" s="796"/>
      <c r="BF415" s="796"/>
      <c r="BG415" s="796"/>
      <c r="BH415" s="796"/>
      <c r="BI415" s="796"/>
      <c r="BJ415" s="796"/>
      <c r="BK415" s="796"/>
      <c r="BL415" s="796"/>
    </row>
    <row r="416" spans="1:64" ht="15" customHeight="1">
      <c r="A416" s="796" t="s">
        <v>1232</v>
      </c>
      <c r="B416" s="795" t="str">
        <f t="shared" si="105"/>
        <v>III</v>
      </c>
      <c r="C416" s="796" t="s">
        <v>1233</v>
      </c>
      <c r="D416" s="795" t="str">
        <f t="shared" si="106"/>
        <v>VII</v>
      </c>
      <c r="M416" s="796" t="s">
        <v>1234</v>
      </c>
      <c r="N416" s="796" t="str">
        <f t="shared" si="108"/>
        <v>V</v>
      </c>
      <c r="Q416" s="796" t="s">
        <v>1235</v>
      </c>
      <c r="R416" s="796" t="str">
        <f t="shared" si="109"/>
        <v>II</v>
      </c>
      <c r="S416" s="796" t="s">
        <v>1236</v>
      </c>
      <c r="T416" s="796" t="str">
        <f t="shared" si="110"/>
        <v>III</v>
      </c>
      <c r="AG416" s="796"/>
      <c r="AH416" s="796"/>
      <c r="AI416" s="796"/>
      <c r="AJ416" s="796"/>
      <c r="AK416" s="796"/>
      <c r="AL416" s="796"/>
      <c r="AM416" s="796"/>
      <c r="AN416" s="796"/>
      <c r="AO416" s="796"/>
      <c r="AP416" s="796"/>
      <c r="AQ416" s="796"/>
      <c r="AR416" s="796"/>
      <c r="AS416" s="796"/>
      <c r="AT416" s="796"/>
      <c r="AU416" s="796"/>
      <c r="AV416" s="796"/>
      <c r="AW416" s="796"/>
      <c r="AX416" s="796"/>
      <c r="AY416" s="796"/>
      <c r="AZ416" s="796"/>
      <c r="BA416" s="796"/>
      <c r="BB416" s="796"/>
      <c r="BC416" s="796"/>
      <c r="BD416" s="796"/>
      <c r="BE416" s="796"/>
      <c r="BF416" s="796"/>
      <c r="BG416" s="796"/>
      <c r="BH416" s="796"/>
      <c r="BI416" s="796"/>
      <c r="BJ416" s="796"/>
      <c r="BK416" s="796"/>
      <c r="BL416" s="796"/>
    </row>
    <row r="417" spans="1:64" ht="15" customHeight="1">
      <c r="A417" s="796" t="s">
        <v>1237</v>
      </c>
      <c r="B417" s="795" t="str">
        <f t="shared" si="105"/>
        <v>IV</v>
      </c>
      <c r="C417" s="796" t="s">
        <v>1238</v>
      </c>
      <c r="D417" s="795" t="str">
        <f t="shared" si="106"/>
        <v>IV</v>
      </c>
      <c r="M417" s="796" t="s">
        <v>1239</v>
      </c>
      <c r="N417" s="796" t="str">
        <f t="shared" si="108"/>
        <v>I</v>
      </c>
      <c r="Q417" s="796" t="s">
        <v>1240</v>
      </c>
      <c r="R417" s="796" t="str">
        <f t="shared" si="109"/>
        <v>IV</v>
      </c>
      <c r="S417" s="796" t="s">
        <v>1241</v>
      </c>
      <c r="T417" s="796" t="str">
        <f t="shared" si="110"/>
        <v>II</v>
      </c>
      <c r="AG417" s="796"/>
      <c r="AH417" s="796"/>
      <c r="AI417" s="796"/>
      <c r="AJ417" s="796"/>
      <c r="AK417" s="796"/>
      <c r="AL417" s="796"/>
      <c r="AM417" s="796"/>
      <c r="AN417" s="796"/>
      <c r="AO417" s="796"/>
      <c r="AP417" s="796"/>
      <c r="AQ417" s="796"/>
      <c r="AR417" s="796"/>
      <c r="AS417" s="796"/>
      <c r="AT417" s="796"/>
      <c r="AU417" s="796"/>
      <c r="AV417" s="796"/>
      <c r="AW417" s="796"/>
      <c r="AX417" s="796"/>
      <c r="AY417" s="796"/>
      <c r="AZ417" s="796"/>
      <c r="BA417" s="796"/>
      <c r="BB417" s="796"/>
      <c r="BC417" s="796"/>
      <c r="BD417" s="796"/>
      <c r="BE417" s="796"/>
      <c r="BF417" s="796"/>
      <c r="BG417" s="796"/>
      <c r="BH417" s="796"/>
      <c r="BI417" s="796"/>
      <c r="BJ417" s="796"/>
      <c r="BK417" s="796"/>
      <c r="BL417" s="796"/>
    </row>
    <row r="418" spans="1:64" ht="15" customHeight="1">
      <c r="A418" s="796" t="s">
        <v>1242</v>
      </c>
      <c r="B418" s="795" t="str">
        <f t="shared" si="105"/>
        <v>IV</v>
      </c>
      <c r="C418" s="796" t="s">
        <v>1243</v>
      </c>
      <c r="D418" s="795" t="str">
        <f t="shared" si="106"/>
        <v>II</v>
      </c>
      <c r="M418" s="796" t="s">
        <v>1244</v>
      </c>
      <c r="N418" s="796" t="str">
        <f t="shared" si="108"/>
        <v>II</v>
      </c>
      <c r="Q418" s="796" t="s">
        <v>1245</v>
      </c>
      <c r="R418" s="796" t="str">
        <f t="shared" si="109"/>
        <v>I</v>
      </c>
      <c r="S418" s="796" t="s">
        <v>1246</v>
      </c>
      <c r="T418" s="796" t="str">
        <f t="shared" si="110"/>
        <v>II</v>
      </c>
      <c r="AG418" s="796"/>
      <c r="AH418" s="796"/>
      <c r="AI418" s="796"/>
      <c r="AJ418" s="796"/>
      <c r="AK418" s="796"/>
      <c r="AL418" s="796"/>
      <c r="AM418" s="796"/>
      <c r="AN418" s="796"/>
      <c r="AO418" s="796"/>
      <c r="AP418" s="796"/>
      <c r="AQ418" s="796"/>
      <c r="AR418" s="796"/>
      <c r="AS418" s="796"/>
      <c r="AT418" s="796"/>
      <c r="AU418" s="796"/>
      <c r="AV418" s="796"/>
      <c r="AW418" s="796"/>
      <c r="AX418" s="796"/>
      <c r="AY418" s="796"/>
      <c r="AZ418" s="796"/>
      <c r="BA418" s="796"/>
      <c r="BB418" s="796"/>
      <c r="BC418" s="796"/>
      <c r="BD418" s="796"/>
      <c r="BE418" s="796"/>
      <c r="BF418" s="796"/>
      <c r="BG418" s="796"/>
      <c r="BH418" s="796"/>
      <c r="BI418" s="796"/>
      <c r="BJ418" s="796"/>
      <c r="BK418" s="796"/>
      <c r="BL418" s="796"/>
    </row>
    <row r="419" spans="1:64" ht="15" customHeight="1">
      <c r="A419" s="796" t="s">
        <v>1247</v>
      </c>
      <c r="B419" s="795" t="str">
        <f t="shared" si="105"/>
        <v>II</v>
      </c>
      <c r="C419" s="796" t="s">
        <v>1248</v>
      </c>
      <c r="D419" s="795" t="str">
        <f t="shared" si="106"/>
        <v>II</v>
      </c>
      <c r="M419" s="796" t="s">
        <v>1249</v>
      </c>
      <c r="N419" s="796" t="str">
        <f t="shared" si="108"/>
        <v>IV</v>
      </c>
      <c r="Q419" s="796" t="s">
        <v>1250</v>
      </c>
      <c r="R419" s="796" t="str">
        <f t="shared" si="109"/>
        <v>II</v>
      </c>
      <c r="S419" s="796" t="s">
        <v>1251</v>
      </c>
      <c r="T419" s="796" t="str">
        <f t="shared" si="110"/>
        <v>II</v>
      </c>
      <c r="AG419" s="796"/>
      <c r="AH419" s="796"/>
      <c r="AI419" s="796"/>
      <c r="AJ419" s="796"/>
      <c r="AK419" s="796"/>
      <c r="AL419" s="796"/>
      <c r="AM419" s="796"/>
      <c r="AN419" s="796"/>
      <c r="AO419" s="796"/>
      <c r="AP419" s="796"/>
      <c r="AQ419" s="796"/>
      <c r="AR419" s="796"/>
      <c r="AS419" s="796"/>
      <c r="AT419" s="796"/>
      <c r="AU419" s="796"/>
      <c r="AV419" s="796"/>
      <c r="AW419" s="796"/>
      <c r="AX419" s="796"/>
      <c r="AY419" s="796"/>
      <c r="AZ419" s="796"/>
      <c r="BA419" s="796"/>
      <c r="BB419" s="796"/>
      <c r="BC419" s="796"/>
      <c r="BD419" s="796"/>
      <c r="BE419" s="796"/>
      <c r="BF419" s="796"/>
      <c r="BG419" s="796"/>
      <c r="BH419" s="796"/>
      <c r="BI419" s="796"/>
      <c r="BJ419" s="796"/>
      <c r="BK419" s="796"/>
      <c r="BL419" s="796"/>
    </row>
    <row r="420" spans="1:64" ht="15" customHeight="1">
      <c r="A420" s="796" t="s">
        <v>1252</v>
      </c>
      <c r="B420" s="795" t="str">
        <f t="shared" si="105"/>
        <v>I</v>
      </c>
      <c r="C420" s="796" t="s">
        <v>1253</v>
      </c>
      <c r="D420" s="795" t="str">
        <f t="shared" si="106"/>
        <v>III</v>
      </c>
      <c r="M420" s="796" t="s">
        <v>1254</v>
      </c>
      <c r="N420" s="796" t="str">
        <f t="shared" ref="N420:N451" si="115">VLOOKUP(M420,Hessen,IF(Jahreszahl&lt;2020,3,2))</f>
        <v>I</v>
      </c>
      <c r="Q420" s="796" t="s">
        <v>1255</v>
      </c>
      <c r="R420" s="796" t="str">
        <f t="shared" si="109"/>
        <v>I</v>
      </c>
      <c r="S420" s="796" t="s">
        <v>1256</v>
      </c>
      <c r="T420" s="796" t="str">
        <f t="shared" si="110"/>
        <v>III</v>
      </c>
      <c r="AG420" s="796"/>
      <c r="AH420" s="796"/>
      <c r="AI420" s="796"/>
      <c r="AJ420" s="796"/>
      <c r="AK420" s="796"/>
      <c r="AL420" s="796"/>
      <c r="AM420" s="796"/>
      <c r="AN420" s="796"/>
      <c r="AO420" s="796"/>
      <c r="AP420" s="796"/>
      <c r="AQ420" s="796"/>
      <c r="AR420" s="796"/>
      <c r="AS420" s="796"/>
      <c r="AT420" s="796"/>
      <c r="AU420" s="796"/>
      <c r="AV420" s="796"/>
      <c r="AW420" s="796"/>
      <c r="AX420" s="796"/>
      <c r="AY420" s="796"/>
      <c r="AZ420" s="796"/>
      <c r="BA420" s="796"/>
      <c r="BB420" s="796"/>
      <c r="BC420" s="796"/>
      <c r="BD420" s="796"/>
      <c r="BE420" s="796"/>
      <c r="BF420" s="796"/>
      <c r="BG420" s="796"/>
      <c r="BH420" s="796"/>
      <c r="BI420" s="796"/>
      <c r="BJ420" s="796"/>
      <c r="BK420" s="796"/>
      <c r="BL420" s="796"/>
    </row>
    <row r="421" spans="1:64" ht="15" customHeight="1">
      <c r="A421" s="796" t="s">
        <v>1257</v>
      </c>
      <c r="B421" s="795" t="str">
        <f t="shared" si="105"/>
        <v>V</v>
      </c>
      <c r="C421" s="796" t="s">
        <v>1258</v>
      </c>
      <c r="D421" s="795" t="str">
        <f t="shared" si="106"/>
        <v>IV</v>
      </c>
      <c r="M421" s="796" t="s">
        <v>1259</v>
      </c>
      <c r="N421" s="796" t="str">
        <f t="shared" si="115"/>
        <v>II</v>
      </c>
      <c r="Q421" s="796" t="s">
        <v>1260</v>
      </c>
      <c r="R421" s="796" t="str">
        <f t="shared" si="109"/>
        <v>I</v>
      </c>
      <c r="S421" s="796" t="s">
        <v>1261</v>
      </c>
      <c r="T421" s="796" t="str">
        <f t="shared" si="110"/>
        <v>II</v>
      </c>
      <c r="AG421" s="796"/>
      <c r="AH421" s="796"/>
      <c r="AI421" s="796"/>
      <c r="AJ421" s="796"/>
      <c r="AK421" s="796"/>
      <c r="AL421" s="796"/>
      <c r="AM421" s="796"/>
      <c r="AN421" s="796"/>
      <c r="AO421" s="796"/>
      <c r="AP421" s="796"/>
      <c r="AQ421" s="796"/>
      <c r="AR421" s="796"/>
      <c r="AS421" s="796"/>
      <c r="AT421" s="796"/>
      <c r="AU421" s="796"/>
      <c r="AV421" s="796"/>
      <c r="AW421" s="796"/>
      <c r="AX421" s="796"/>
      <c r="AY421" s="796"/>
      <c r="AZ421" s="796"/>
      <c r="BA421" s="796"/>
      <c r="BB421" s="796"/>
      <c r="BC421" s="796"/>
      <c r="BD421" s="796"/>
      <c r="BE421" s="796"/>
      <c r="BF421" s="796"/>
      <c r="BG421" s="796"/>
      <c r="BH421" s="796"/>
      <c r="BI421" s="796"/>
      <c r="BJ421" s="796"/>
      <c r="BK421" s="796"/>
      <c r="BL421" s="796"/>
    </row>
    <row r="422" spans="1:64" ht="15" customHeight="1">
      <c r="A422" s="796" t="s">
        <v>1262</v>
      </c>
      <c r="B422" s="795" t="str">
        <f t="shared" si="105"/>
        <v>IV</v>
      </c>
      <c r="C422" s="796" t="s">
        <v>1263</v>
      </c>
      <c r="D422" s="795" t="str">
        <f t="shared" si="106"/>
        <v>VII</v>
      </c>
      <c r="M422" s="796" t="s">
        <v>1264</v>
      </c>
      <c r="N422" s="796" t="str">
        <f t="shared" si="115"/>
        <v>III</v>
      </c>
      <c r="Q422" s="796" t="s">
        <v>1265</v>
      </c>
      <c r="R422" s="796" t="str">
        <f t="shared" si="109"/>
        <v>I</v>
      </c>
      <c r="S422" s="796" t="s">
        <v>1266</v>
      </c>
      <c r="T422" s="796" t="str">
        <f t="shared" si="110"/>
        <v>II</v>
      </c>
      <c r="AG422" s="796"/>
      <c r="AH422" s="796"/>
      <c r="AI422" s="796"/>
      <c r="AJ422" s="796"/>
      <c r="AK422" s="796"/>
      <c r="AL422" s="796"/>
      <c r="AM422" s="796"/>
      <c r="AN422" s="796"/>
      <c r="AO422" s="796"/>
      <c r="AP422" s="796"/>
      <c r="AQ422" s="796"/>
      <c r="AR422" s="796"/>
      <c r="AS422" s="796"/>
      <c r="AT422" s="796"/>
      <c r="AU422" s="796"/>
      <c r="AV422" s="796"/>
      <c r="AW422" s="796"/>
      <c r="AX422" s="796"/>
      <c r="AY422" s="796"/>
      <c r="AZ422" s="796"/>
      <c r="BA422" s="796"/>
      <c r="BB422" s="796"/>
      <c r="BC422" s="796"/>
      <c r="BD422" s="796"/>
      <c r="BE422" s="796"/>
      <c r="BF422" s="796"/>
      <c r="BG422" s="796"/>
      <c r="BH422" s="796"/>
      <c r="BI422" s="796"/>
      <c r="BJ422" s="796"/>
      <c r="BK422" s="796"/>
      <c r="BL422" s="796"/>
    </row>
    <row r="423" spans="1:64" ht="15" customHeight="1">
      <c r="A423" s="796" t="s">
        <v>1267</v>
      </c>
      <c r="B423" s="795" t="str">
        <f t="shared" si="105"/>
        <v>VI</v>
      </c>
      <c r="C423" s="796" t="s">
        <v>1268</v>
      </c>
      <c r="D423" s="795" t="str">
        <f t="shared" si="106"/>
        <v>VII</v>
      </c>
      <c r="M423" s="796" t="s">
        <v>1269</v>
      </c>
      <c r="N423" s="796" t="str">
        <f t="shared" si="115"/>
        <v>I</v>
      </c>
      <c r="Q423" s="796" t="s">
        <v>1270</v>
      </c>
      <c r="R423" s="796" t="str">
        <f t="shared" si="109"/>
        <v>I</v>
      </c>
      <c r="S423" s="796" t="s">
        <v>1271</v>
      </c>
      <c r="T423" s="796" t="str">
        <f t="shared" si="110"/>
        <v>III</v>
      </c>
      <c r="AG423" s="796"/>
      <c r="AH423" s="796"/>
      <c r="AI423" s="796"/>
      <c r="AJ423" s="796"/>
      <c r="AK423" s="796"/>
      <c r="AL423" s="796"/>
      <c r="AM423" s="796"/>
      <c r="AN423" s="796"/>
      <c r="AO423" s="796"/>
      <c r="AP423" s="796"/>
      <c r="AQ423" s="796"/>
      <c r="AR423" s="796"/>
      <c r="AS423" s="796"/>
      <c r="AT423" s="796"/>
      <c r="AU423" s="796"/>
      <c r="AV423" s="796"/>
      <c r="AW423" s="796"/>
      <c r="AX423" s="796"/>
      <c r="AY423" s="796"/>
      <c r="AZ423" s="796"/>
      <c r="BA423" s="796"/>
      <c r="BB423" s="796"/>
      <c r="BC423" s="796"/>
      <c r="BD423" s="796"/>
      <c r="BE423" s="796"/>
      <c r="BF423" s="796"/>
      <c r="BG423" s="796"/>
      <c r="BH423" s="796"/>
      <c r="BI423" s="796"/>
      <c r="BJ423" s="796"/>
      <c r="BK423" s="796"/>
      <c r="BL423" s="796"/>
    </row>
    <row r="424" spans="1:64" ht="15" customHeight="1">
      <c r="A424" s="796" t="s">
        <v>1272</v>
      </c>
      <c r="B424" s="795" t="str">
        <f t="shared" si="105"/>
        <v>II</v>
      </c>
      <c r="C424" s="796" t="s">
        <v>1273</v>
      </c>
      <c r="D424" s="795" t="str">
        <f t="shared" si="106"/>
        <v>I</v>
      </c>
      <c r="M424" s="796" t="s">
        <v>1274</v>
      </c>
      <c r="N424" s="796" t="str">
        <f t="shared" si="115"/>
        <v>IV</v>
      </c>
      <c r="Q424" s="796" t="s">
        <v>1275</v>
      </c>
      <c r="R424" s="796" t="str">
        <f t="shared" si="109"/>
        <v>I</v>
      </c>
      <c r="S424" s="796" t="s">
        <v>1276</v>
      </c>
      <c r="T424" s="796" t="str">
        <f t="shared" si="110"/>
        <v>III</v>
      </c>
      <c r="AG424" s="796"/>
      <c r="AH424" s="796"/>
      <c r="AI424" s="796"/>
      <c r="AJ424" s="796"/>
      <c r="AK424" s="796"/>
      <c r="AL424" s="796"/>
      <c r="AM424" s="796"/>
      <c r="AN424" s="796"/>
      <c r="AO424" s="796"/>
      <c r="AP424" s="796"/>
      <c r="AQ424" s="796"/>
      <c r="AR424" s="796"/>
      <c r="AS424" s="796"/>
      <c r="AT424" s="796"/>
      <c r="AU424" s="796"/>
      <c r="AV424" s="796"/>
      <c r="AW424" s="796"/>
      <c r="AX424" s="796"/>
      <c r="AY424" s="796"/>
      <c r="AZ424" s="796"/>
      <c r="BA424" s="796"/>
      <c r="BB424" s="796"/>
      <c r="BC424" s="796"/>
      <c r="BD424" s="796"/>
      <c r="BE424" s="796"/>
      <c r="BF424" s="796"/>
      <c r="BG424" s="796"/>
      <c r="BH424" s="796"/>
      <c r="BI424" s="796"/>
      <c r="BJ424" s="796"/>
      <c r="BK424" s="796"/>
      <c r="BL424" s="796"/>
    </row>
    <row r="425" spans="1:64" ht="15" customHeight="1">
      <c r="A425" s="796" t="s">
        <v>1277</v>
      </c>
      <c r="B425" s="795" t="str">
        <f t="shared" si="105"/>
        <v>III</v>
      </c>
      <c r="C425" s="796" t="s">
        <v>1278</v>
      </c>
      <c r="D425" s="795" t="str">
        <f t="shared" si="106"/>
        <v>III</v>
      </c>
      <c r="M425" s="796" t="s">
        <v>1279</v>
      </c>
      <c r="N425" s="796" t="str">
        <f t="shared" si="115"/>
        <v>I</v>
      </c>
      <c r="Q425" s="796" t="s">
        <v>1280</v>
      </c>
      <c r="R425" s="796" t="str">
        <f t="shared" si="109"/>
        <v>I</v>
      </c>
      <c r="S425" s="796" t="s">
        <v>1281</v>
      </c>
      <c r="T425" s="796" t="str">
        <f t="shared" si="110"/>
        <v>IV</v>
      </c>
      <c r="AG425" s="796"/>
      <c r="AH425" s="796"/>
      <c r="AI425" s="796"/>
      <c r="AJ425" s="796"/>
      <c r="AK425" s="796"/>
      <c r="AL425" s="796"/>
      <c r="AM425" s="796"/>
      <c r="AN425" s="796"/>
      <c r="AO425" s="796"/>
      <c r="AP425" s="796"/>
      <c r="AQ425" s="796"/>
      <c r="AR425" s="796"/>
      <c r="AS425" s="796"/>
      <c r="AT425" s="796"/>
      <c r="AU425" s="796"/>
      <c r="AV425" s="796"/>
      <c r="AW425" s="796"/>
      <c r="AX425" s="796"/>
      <c r="AY425" s="796"/>
      <c r="AZ425" s="796"/>
      <c r="BA425" s="796"/>
      <c r="BB425" s="796"/>
      <c r="BC425" s="796"/>
      <c r="BD425" s="796"/>
      <c r="BE425" s="796"/>
      <c r="BF425" s="796"/>
      <c r="BG425" s="796"/>
      <c r="BH425" s="796"/>
      <c r="BI425" s="796"/>
      <c r="BJ425" s="796"/>
      <c r="BK425" s="796"/>
      <c r="BL425" s="796"/>
    </row>
    <row r="426" spans="1:64" ht="15" customHeight="1">
      <c r="A426" s="796" t="s">
        <v>1282</v>
      </c>
      <c r="B426" s="795" t="str">
        <f t="shared" si="105"/>
        <v>III</v>
      </c>
      <c r="C426" s="796" t="s">
        <v>1283</v>
      </c>
      <c r="D426" s="795" t="str">
        <f t="shared" si="106"/>
        <v>III</v>
      </c>
      <c r="M426" s="796" t="s">
        <v>1284</v>
      </c>
      <c r="N426" s="796" t="str">
        <f t="shared" si="115"/>
        <v>I</v>
      </c>
      <c r="Q426" s="796" t="s">
        <v>1285</v>
      </c>
      <c r="R426" s="796" t="str">
        <f t="shared" si="109"/>
        <v>I</v>
      </c>
      <c r="S426" s="796" t="s">
        <v>1286</v>
      </c>
      <c r="T426" s="796" t="str">
        <f t="shared" si="110"/>
        <v>II</v>
      </c>
      <c r="AG426" s="796"/>
      <c r="AH426" s="796"/>
      <c r="AI426" s="796"/>
      <c r="AJ426" s="796"/>
      <c r="AK426" s="796"/>
      <c r="AL426" s="796"/>
      <c r="AM426" s="796"/>
      <c r="AN426" s="796"/>
      <c r="AO426" s="796"/>
      <c r="AP426" s="796"/>
      <c r="AQ426" s="796"/>
      <c r="AR426" s="796"/>
      <c r="AS426" s="796"/>
      <c r="AT426" s="796"/>
      <c r="AU426" s="796"/>
      <c r="AV426" s="796"/>
      <c r="AW426" s="796"/>
      <c r="AX426" s="796"/>
      <c r="AY426" s="796"/>
      <c r="AZ426" s="796"/>
      <c r="BA426" s="796"/>
      <c r="BB426" s="796"/>
      <c r="BC426" s="796"/>
      <c r="BD426" s="796"/>
      <c r="BE426" s="796"/>
      <c r="BF426" s="796"/>
      <c r="BG426" s="796"/>
      <c r="BH426" s="796"/>
      <c r="BI426" s="796"/>
      <c r="BJ426" s="796"/>
      <c r="BK426" s="796"/>
      <c r="BL426" s="796"/>
    </row>
    <row r="427" spans="1:64" ht="15" customHeight="1">
      <c r="A427" s="796" t="s">
        <v>1287</v>
      </c>
      <c r="B427" s="795" t="str">
        <f t="shared" si="105"/>
        <v>III</v>
      </c>
      <c r="C427" s="796" t="s">
        <v>1288</v>
      </c>
      <c r="D427" s="795" t="str">
        <f t="shared" si="106"/>
        <v>II</v>
      </c>
      <c r="M427" s="796" t="s">
        <v>1289</v>
      </c>
      <c r="N427" s="796" t="str">
        <f t="shared" si="115"/>
        <v>I</v>
      </c>
      <c r="Q427" s="796" t="s">
        <v>1290</v>
      </c>
      <c r="R427" s="796" t="str">
        <f t="shared" si="109"/>
        <v>I</v>
      </c>
      <c r="S427" s="796" t="s">
        <v>1291</v>
      </c>
      <c r="T427" s="796" t="str">
        <f t="shared" si="110"/>
        <v>II</v>
      </c>
      <c r="AG427" s="796"/>
      <c r="AH427" s="796"/>
      <c r="AI427" s="796"/>
      <c r="AJ427" s="796"/>
      <c r="AK427" s="796"/>
      <c r="AL427" s="796"/>
      <c r="AM427" s="796"/>
      <c r="AN427" s="796"/>
      <c r="AO427" s="796"/>
      <c r="AP427" s="796"/>
      <c r="AQ427" s="796"/>
      <c r="AR427" s="796"/>
      <c r="AS427" s="796"/>
      <c r="AT427" s="796"/>
      <c r="AU427" s="796"/>
      <c r="AV427" s="796"/>
      <c r="AW427" s="796"/>
      <c r="AX427" s="796"/>
      <c r="AY427" s="796"/>
      <c r="AZ427" s="796"/>
      <c r="BA427" s="796"/>
      <c r="BB427" s="796"/>
      <c r="BC427" s="796"/>
      <c r="BD427" s="796"/>
      <c r="BE427" s="796"/>
      <c r="BF427" s="796"/>
      <c r="BG427" s="796"/>
      <c r="BH427" s="796"/>
      <c r="BI427" s="796"/>
      <c r="BJ427" s="796"/>
      <c r="BK427" s="796"/>
      <c r="BL427" s="796"/>
    </row>
    <row r="428" spans="1:64" ht="15" customHeight="1">
      <c r="A428" s="796" t="s">
        <v>1292</v>
      </c>
      <c r="B428" s="795" t="str">
        <f t="shared" si="105"/>
        <v>IV</v>
      </c>
      <c r="C428" s="796" t="s">
        <v>1293</v>
      </c>
      <c r="D428" s="795" t="str">
        <f t="shared" si="106"/>
        <v>IV</v>
      </c>
      <c r="M428" s="796" t="s">
        <v>1294</v>
      </c>
      <c r="N428" s="796" t="str">
        <f t="shared" si="115"/>
        <v>II</v>
      </c>
      <c r="Q428" s="796" t="s">
        <v>1295</v>
      </c>
      <c r="R428" s="796" t="str">
        <f t="shared" si="109"/>
        <v>I</v>
      </c>
      <c r="S428" s="796" t="s">
        <v>1296</v>
      </c>
      <c r="T428" s="796" t="str">
        <f t="shared" si="110"/>
        <v>III</v>
      </c>
      <c r="AG428" s="796"/>
      <c r="AH428" s="796"/>
      <c r="AI428" s="796"/>
      <c r="AJ428" s="796"/>
      <c r="AK428" s="796"/>
      <c r="AL428" s="796"/>
      <c r="AM428" s="796"/>
      <c r="AN428" s="796"/>
      <c r="AO428" s="796"/>
      <c r="AP428" s="796"/>
      <c r="AQ428" s="796"/>
      <c r="AR428" s="796"/>
      <c r="AS428" s="796"/>
      <c r="AT428" s="796"/>
      <c r="AU428" s="796"/>
      <c r="AV428" s="796"/>
      <c r="AW428" s="796"/>
      <c r="AX428" s="796"/>
      <c r="AY428" s="796"/>
      <c r="AZ428" s="796"/>
      <c r="BA428" s="796"/>
      <c r="BB428" s="796"/>
      <c r="BC428" s="796"/>
      <c r="BD428" s="796"/>
      <c r="BE428" s="796"/>
      <c r="BF428" s="796"/>
      <c r="BG428" s="796"/>
      <c r="BH428" s="796"/>
      <c r="BI428" s="796"/>
      <c r="BJ428" s="796"/>
      <c r="BK428" s="796"/>
      <c r="BL428" s="796"/>
    </row>
    <row r="429" spans="1:64" ht="15" customHeight="1">
      <c r="A429" s="796" t="s">
        <v>1297</v>
      </c>
      <c r="B429" s="795" t="str">
        <f t="shared" si="105"/>
        <v>III</v>
      </c>
      <c r="C429" s="796" t="s">
        <v>1298</v>
      </c>
      <c r="D429" s="795" t="str">
        <f t="shared" si="106"/>
        <v>VII</v>
      </c>
      <c r="M429" s="796" t="s">
        <v>1299</v>
      </c>
      <c r="N429" s="796" t="str">
        <f t="shared" si="115"/>
        <v>IV</v>
      </c>
      <c r="Q429" s="796" t="s">
        <v>1300</v>
      </c>
      <c r="R429" s="796" t="str">
        <f t="shared" si="109"/>
        <v>I</v>
      </c>
      <c r="S429" s="796" t="s">
        <v>1301</v>
      </c>
      <c r="T429" s="796" t="str">
        <f t="shared" si="110"/>
        <v>IV</v>
      </c>
      <c r="AG429" s="796"/>
      <c r="AH429" s="796"/>
      <c r="AI429" s="796"/>
      <c r="AJ429" s="796"/>
      <c r="AK429" s="796"/>
      <c r="AL429" s="796"/>
      <c r="AM429" s="796"/>
      <c r="AN429" s="796"/>
      <c r="AO429" s="796"/>
      <c r="AP429" s="796"/>
      <c r="AQ429" s="796"/>
      <c r="AR429" s="796"/>
      <c r="AS429" s="796"/>
      <c r="AT429" s="796"/>
      <c r="AU429" s="796"/>
      <c r="AV429" s="796"/>
      <c r="AW429" s="796"/>
      <c r="AX429" s="796"/>
      <c r="AY429" s="796"/>
      <c r="AZ429" s="796"/>
      <c r="BA429" s="796"/>
      <c r="BB429" s="796"/>
      <c r="BC429" s="796"/>
      <c r="BD429" s="796"/>
      <c r="BE429" s="796"/>
      <c r="BF429" s="796"/>
      <c r="BG429" s="796"/>
      <c r="BH429" s="796"/>
      <c r="BI429" s="796"/>
      <c r="BJ429" s="796"/>
      <c r="BK429" s="796"/>
      <c r="BL429" s="796"/>
    </row>
    <row r="430" spans="1:64" ht="15" customHeight="1">
      <c r="A430" s="796" t="s">
        <v>1302</v>
      </c>
      <c r="B430" s="795" t="str">
        <f t="shared" si="105"/>
        <v>II</v>
      </c>
      <c r="C430" s="796" t="s">
        <v>1303</v>
      </c>
      <c r="D430" s="795" t="str">
        <f t="shared" si="106"/>
        <v>VII</v>
      </c>
      <c r="M430" s="796" t="s">
        <v>1304</v>
      </c>
      <c r="N430" s="796" t="str">
        <f t="shared" si="115"/>
        <v>I</v>
      </c>
      <c r="Q430" s="796" t="s">
        <v>1305</v>
      </c>
      <c r="R430" s="796" t="str">
        <f t="shared" si="109"/>
        <v>I</v>
      </c>
      <c r="S430" s="796" t="s">
        <v>1306</v>
      </c>
      <c r="T430" s="796" t="str">
        <f t="shared" si="110"/>
        <v>III</v>
      </c>
      <c r="AG430" s="796"/>
      <c r="AH430" s="796"/>
      <c r="AI430" s="796"/>
      <c r="AJ430" s="796"/>
      <c r="AK430" s="796"/>
      <c r="AL430" s="796"/>
      <c r="AM430" s="796"/>
      <c r="AN430" s="796"/>
      <c r="AO430" s="796"/>
      <c r="AP430" s="796"/>
      <c r="AQ430" s="796"/>
      <c r="AR430" s="796"/>
      <c r="AS430" s="796"/>
      <c r="AT430" s="796"/>
      <c r="AU430" s="796"/>
      <c r="AV430" s="796"/>
      <c r="AW430" s="796"/>
      <c r="AX430" s="796"/>
      <c r="AY430" s="796"/>
      <c r="AZ430" s="796"/>
      <c r="BA430" s="796"/>
      <c r="BB430" s="796"/>
      <c r="BC430" s="796"/>
      <c r="BD430" s="796"/>
      <c r="BE430" s="796"/>
      <c r="BF430" s="796"/>
      <c r="BG430" s="796"/>
      <c r="BH430" s="796"/>
      <c r="BI430" s="796"/>
      <c r="BJ430" s="796"/>
      <c r="BK430" s="796"/>
      <c r="BL430" s="796"/>
    </row>
    <row r="431" spans="1:64" ht="15" customHeight="1">
      <c r="A431" s="796" t="s">
        <v>1307</v>
      </c>
      <c r="B431" s="795" t="str">
        <f t="shared" si="105"/>
        <v>V</v>
      </c>
      <c r="C431" s="796" t="s">
        <v>1308</v>
      </c>
      <c r="D431" s="795" t="str">
        <f t="shared" si="106"/>
        <v>IV</v>
      </c>
      <c r="M431" s="796" t="s">
        <v>1309</v>
      </c>
      <c r="N431" s="796" t="str">
        <f t="shared" si="115"/>
        <v>II</v>
      </c>
      <c r="Q431" s="796" t="s">
        <v>1310</v>
      </c>
      <c r="R431" s="796" t="str">
        <f t="shared" si="109"/>
        <v>I</v>
      </c>
      <c r="S431" s="796" t="s">
        <v>1311</v>
      </c>
      <c r="T431" s="796" t="str">
        <f t="shared" si="110"/>
        <v>II</v>
      </c>
      <c r="AG431" s="796"/>
      <c r="AH431" s="796"/>
      <c r="AI431" s="796"/>
      <c r="AJ431" s="796"/>
      <c r="AK431" s="796"/>
      <c r="AL431" s="796"/>
      <c r="AM431" s="796"/>
      <c r="AN431" s="796"/>
      <c r="AO431" s="796"/>
      <c r="AP431" s="796"/>
      <c r="AQ431" s="796"/>
      <c r="AR431" s="796"/>
      <c r="AS431" s="796"/>
      <c r="AT431" s="796"/>
      <c r="AU431" s="796"/>
      <c r="AV431" s="796"/>
      <c r="AW431" s="796"/>
      <c r="AX431" s="796"/>
      <c r="AY431" s="796"/>
      <c r="AZ431" s="796"/>
      <c r="BA431" s="796"/>
      <c r="BB431" s="796"/>
      <c r="BC431" s="796"/>
      <c r="BD431" s="796"/>
      <c r="BE431" s="796"/>
      <c r="BF431" s="796"/>
      <c r="BG431" s="796"/>
      <c r="BH431" s="796"/>
      <c r="BI431" s="796"/>
      <c r="BJ431" s="796"/>
      <c r="BK431" s="796"/>
      <c r="BL431" s="796"/>
    </row>
    <row r="432" spans="1:64" ht="15" customHeight="1">
      <c r="A432" s="796" t="s">
        <v>1312</v>
      </c>
      <c r="B432" s="795" t="str">
        <f t="shared" si="105"/>
        <v>IV</v>
      </c>
      <c r="C432" s="796" t="s">
        <v>1313</v>
      </c>
      <c r="D432" s="795" t="str">
        <f t="shared" si="106"/>
        <v>II</v>
      </c>
      <c r="M432" s="796" t="s">
        <v>1314</v>
      </c>
      <c r="N432" s="796" t="str">
        <f t="shared" si="115"/>
        <v>IV</v>
      </c>
      <c r="Q432" s="796" t="s">
        <v>1315</v>
      </c>
      <c r="R432" s="796" t="str">
        <f t="shared" si="109"/>
        <v>III</v>
      </c>
      <c r="S432" s="796" t="s">
        <v>1316</v>
      </c>
      <c r="T432" s="796" t="str">
        <f t="shared" si="110"/>
        <v>III</v>
      </c>
      <c r="AG432" s="796"/>
      <c r="AH432" s="796"/>
      <c r="AI432" s="796"/>
      <c r="AJ432" s="796"/>
      <c r="AK432" s="796"/>
      <c r="AL432" s="796"/>
      <c r="AM432" s="796"/>
      <c r="AN432" s="796"/>
      <c r="AO432" s="796"/>
      <c r="AP432" s="796"/>
      <c r="AQ432" s="796"/>
      <c r="AR432" s="796"/>
      <c r="AS432" s="796"/>
      <c r="AT432" s="796"/>
      <c r="AU432" s="796"/>
      <c r="AV432" s="796"/>
      <c r="AW432" s="796"/>
      <c r="AX432" s="796"/>
      <c r="AY432" s="796"/>
      <c r="AZ432" s="796"/>
      <c r="BA432" s="796"/>
      <c r="BB432" s="796"/>
      <c r="BC432" s="796"/>
      <c r="BD432" s="796"/>
      <c r="BE432" s="796"/>
      <c r="BF432" s="796"/>
      <c r="BG432" s="796"/>
      <c r="BH432" s="796"/>
      <c r="BI432" s="796"/>
      <c r="BJ432" s="796"/>
      <c r="BK432" s="796"/>
      <c r="BL432" s="796"/>
    </row>
    <row r="433" spans="1:64" ht="15" customHeight="1">
      <c r="A433" s="796" t="s">
        <v>1317</v>
      </c>
      <c r="B433" s="795" t="str">
        <f t="shared" si="105"/>
        <v>V</v>
      </c>
      <c r="C433" s="796" t="s">
        <v>1318</v>
      </c>
      <c r="D433" s="795" t="str">
        <f t="shared" si="106"/>
        <v>IV</v>
      </c>
      <c r="M433" s="796" t="s">
        <v>1319</v>
      </c>
      <c r="N433" s="796" t="str">
        <f t="shared" si="115"/>
        <v>II</v>
      </c>
      <c r="Q433" s="796" t="s">
        <v>1320</v>
      </c>
      <c r="R433" s="796" t="str">
        <f t="shared" si="109"/>
        <v>I</v>
      </c>
      <c r="S433" s="796" t="s">
        <v>1321</v>
      </c>
      <c r="T433" s="796" t="str">
        <f t="shared" si="110"/>
        <v>III</v>
      </c>
      <c r="AG433" s="796"/>
      <c r="AH433" s="796"/>
      <c r="AI433" s="796"/>
      <c r="AJ433" s="796"/>
      <c r="AK433" s="796"/>
      <c r="AL433" s="796"/>
      <c r="AM433" s="796"/>
      <c r="AN433" s="796"/>
      <c r="AO433" s="796"/>
      <c r="AP433" s="796"/>
      <c r="AQ433" s="796"/>
      <c r="AR433" s="796"/>
      <c r="AS433" s="796"/>
      <c r="AT433" s="796"/>
      <c r="AU433" s="796"/>
      <c r="AV433" s="796"/>
      <c r="AW433" s="796"/>
      <c r="AX433" s="796"/>
      <c r="AY433" s="796"/>
      <c r="AZ433" s="796"/>
      <c r="BA433" s="796"/>
      <c r="BB433" s="796"/>
      <c r="BC433" s="796"/>
      <c r="BD433" s="796"/>
      <c r="BE433" s="796"/>
      <c r="BF433" s="796"/>
      <c r="BG433" s="796"/>
      <c r="BH433" s="796"/>
      <c r="BI433" s="796"/>
      <c r="BJ433" s="796"/>
      <c r="BK433" s="796"/>
      <c r="BL433" s="796"/>
    </row>
    <row r="434" spans="1:64" ht="15" customHeight="1">
      <c r="A434" s="796" t="s">
        <v>1322</v>
      </c>
      <c r="B434" s="795" t="str">
        <f t="shared" si="105"/>
        <v>V</v>
      </c>
      <c r="C434" s="796" t="s">
        <v>1323</v>
      </c>
      <c r="D434" s="795" t="str">
        <f t="shared" si="106"/>
        <v>IV</v>
      </c>
      <c r="M434" s="796" t="s">
        <v>1324</v>
      </c>
      <c r="N434" s="796" t="str">
        <f t="shared" si="115"/>
        <v>I</v>
      </c>
      <c r="Q434" s="796" t="s">
        <v>1325</v>
      </c>
      <c r="R434" s="796" t="str">
        <f t="shared" si="109"/>
        <v>I</v>
      </c>
      <c r="S434" s="796" t="s">
        <v>1326</v>
      </c>
      <c r="T434" s="796" t="str">
        <f t="shared" si="110"/>
        <v>II</v>
      </c>
      <c r="AG434" s="796"/>
      <c r="AH434" s="796"/>
      <c r="AI434" s="796"/>
      <c r="AJ434" s="796"/>
      <c r="AK434" s="796"/>
      <c r="AL434" s="796"/>
      <c r="AM434" s="796"/>
      <c r="AN434" s="796"/>
      <c r="AO434" s="796"/>
      <c r="AP434" s="796"/>
      <c r="AQ434" s="796"/>
      <c r="AR434" s="796"/>
      <c r="AS434" s="796"/>
      <c r="AT434" s="796"/>
      <c r="AU434" s="796"/>
      <c r="AV434" s="796"/>
      <c r="AW434" s="796"/>
      <c r="AX434" s="796"/>
      <c r="AY434" s="796"/>
      <c r="AZ434" s="796"/>
      <c r="BA434" s="796"/>
      <c r="BB434" s="796"/>
      <c r="BC434" s="796"/>
      <c r="BD434" s="796"/>
      <c r="BE434" s="796"/>
      <c r="BF434" s="796"/>
      <c r="BG434" s="796"/>
      <c r="BH434" s="796"/>
      <c r="BI434" s="796"/>
      <c r="BJ434" s="796"/>
      <c r="BK434" s="796"/>
      <c r="BL434" s="796"/>
    </row>
    <row r="435" spans="1:64" ht="15" customHeight="1">
      <c r="A435" s="796" t="s">
        <v>1327</v>
      </c>
      <c r="B435" s="795" t="str">
        <f t="shared" si="105"/>
        <v>V</v>
      </c>
      <c r="C435" s="796" t="s">
        <v>1328</v>
      </c>
      <c r="D435" s="795" t="str">
        <f t="shared" si="106"/>
        <v>II</v>
      </c>
      <c r="M435" s="796" t="s">
        <v>1329</v>
      </c>
      <c r="N435" s="796" t="str">
        <f t="shared" si="115"/>
        <v>I</v>
      </c>
      <c r="Q435" s="796" t="s">
        <v>1330</v>
      </c>
      <c r="R435" s="796" t="str">
        <f t="shared" si="109"/>
        <v>I</v>
      </c>
      <c r="S435" s="796" t="s">
        <v>1331</v>
      </c>
      <c r="T435" s="796" t="str">
        <f t="shared" si="110"/>
        <v>II</v>
      </c>
      <c r="AG435" s="796"/>
      <c r="AH435" s="796"/>
      <c r="AI435" s="796"/>
      <c r="AJ435" s="796"/>
      <c r="AK435" s="796"/>
      <c r="AL435" s="796"/>
      <c r="AM435" s="796"/>
      <c r="AN435" s="796"/>
      <c r="AO435" s="796"/>
      <c r="AP435" s="796"/>
      <c r="AQ435" s="796"/>
      <c r="AR435" s="796"/>
      <c r="AS435" s="796"/>
      <c r="AT435" s="796"/>
      <c r="AU435" s="796"/>
      <c r="AV435" s="796"/>
      <c r="AW435" s="796"/>
      <c r="AX435" s="796"/>
      <c r="AY435" s="796"/>
      <c r="AZ435" s="796"/>
      <c r="BA435" s="796"/>
      <c r="BB435" s="796"/>
      <c r="BC435" s="796"/>
      <c r="BD435" s="796"/>
      <c r="BE435" s="796"/>
      <c r="BF435" s="796"/>
      <c r="BG435" s="796"/>
      <c r="BH435" s="796"/>
      <c r="BI435" s="796"/>
      <c r="BJ435" s="796"/>
      <c r="BK435" s="796"/>
      <c r="BL435" s="796"/>
    </row>
    <row r="436" spans="1:64" ht="15" customHeight="1">
      <c r="A436" s="796" t="s">
        <v>1332</v>
      </c>
      <c r="B436" s="795" t="str">
        <f t="shared" si="105"/>
        <v>IV</v>
      </c>
      <c r="C436" s="796" t="s">
        <v>1333</v>
      </c>
      <c r="D436" s="795" t="str">
        <f t="shared" si="106"/>
        <v>I</v>
      </c>
      <c r="M436" s="796" t="s">
        <v>1334</v>
      </c>
      <c r="N436" s="796" t="str">
        <f t="shared" si="115"/>
        <v>I</v>
      </c>
      <c r="Q436" s="796" t="s">
        <v>1335</v>
      </c>
      <c r="R436" s="796" t="str">
        <f t="shared" si="109"/>
        <v>I</v>
      </c>
      <c r="S436" s="796" t="s">
        <v>1336</v>
      </c>
      <c r="T436" s="796" t="str">
        <f t="shared" si="110"/>
        <v>II</v>
      </c>
      <c r="AG436" s="796"/>
      <c r="AH436" s="796"/>
      <c r="AI436" s="796"/>
      <c r="AJ436" s="796"/>
      <c r="AK436" s="796"/>
      <c r="AL436" s="796"/>
      <c r="AM436" s="796"/>
      <c r="AN436" s="796"/>
      <c r="AO436" s="796"/>
      <c r="AP436" s="796"/>
      <c r="AQ436" s="796"/>
      <c r="AR436" s="796"/>
      <c r="AS436" s="796"/>
      <c r="AT436" s="796"/>
      <c r="AU436" s="796"/>
      <c r="AV436" s="796"/>
      <c r="AW436" s="796"/>
      <c r="AX436" s="796"/>
      <c r="AY436" s="796"/>
      <c r="AZ436" s="796"/>
      <c r="BA436" s="796"/>
      <c r="BB436" s="796"/>
      <c r="BC436" s="796"/>
      <c r="BD436" s="796"/>
      <c r="BE436" s="796"/>
      <c r="BF436" s="796"/>
      <c r="BG436" s="796"/>
      <c r="BH436" s="796"/>
      <c r="BI436" s="796"/>
      <c r="BJ436" s="796"/>
      <c r="BK436" s="796"/>
      <c r="BL436" s="796"/>
    </row>
    <row r="437" spans="1:64" ht="15" customHeight="1">
      <c r="A437" s="796" t="s">
        <v>1337</v>
      </c>
      <c r="B437" s="795" t="str">
        <f t="shared" si="105"/>
        <v>VI</v>
      </c>
      <c r="C437" s="796" t="s">
        <v>1338</v>
      </c>
      <c r="D437" s="795" t="str">
        <f t="shared" si="106"/>
        <v>I</v>
      </c>
      <c r="M437" s="796" t="s">
        <v>1339</v>
      </c>
      <c r="N437" s="796" t="str">
        <f t="shared" si="115"/>
        <v>I</v>
      </c>
      <c r="Q437" s="796" t="s">
        <v>1340</v>
      </c>
      <c r="R437" s="796" t="str">
        <f t="shared" si="109"/>
        <v>I</v>
      </c>
      <c r="S437" s="796" t="s">
        <v>1341</v>
      </c>
      <c r="T437" s="796" t="str">
        <f t="shared" si="110"/>
        <v>III</v>
      </c>
      <c r="AG437" s="796"/>
      <c r="AH437" s="796"/>
      <c r="AI437" s="796"/>
      <c r="AJ437" s="796"/>
      <c r="AK437" s="796"/>
      <c r="AL437" s="796"/>
      <c r="AM437" s="796"/>
      <c r="AN437" s="796"/>
      <c r="AO437" s="796"/>
      <c r="AP437" s="796"/>
      <c r="AQ437" s="796"/>
      <c r="AR437" s="796"/>
      <c r="AS437" s="796"/>
      <c r="AT437" s="796"/>
      <c r="AU437" s="796"/>
      <c r="AV437" s="796"/>
      <c r="AW437" s="796"/>
      <c r="AX437" s="796"/>
      <c r="AY437" s="796"/>
      <c r="AZ437" s="796"/>
      <c r="BA437" s="796"/>
      <c r="BB437" s="796"/>
      <c r="BC437" s="796"/>
      <c r="BD437" s="796"/>
      <c r="BE437" s="796"/>
      <c r="BF437" s="796"/>
      <c r="BG437" s="796"/>
      <c r="BH437" s="796"/>
      <c r="BI437" s="796"/>
      <c r="BJ437" s="796"/>
      <c r="BK437" s="796"/>
      <c r="BL437" s="796"/>
    </row>
    <row r="438" spans="1:64" ht="15" customHeight="1">
      <c r="A438" s="796" t="s">
        <v>1342</v>
      </c>
      <c r="B438" s="795" t="str">
        <f t="shared" si="105"/>
        <v>V</v>
      </c>
      <c r="C438" s="796" t="s">
        <v>1343</v>
      </c>
      <c r="D438" s="795" t="str">
        <f t="shared" si="106"/>
        <v>I</v>
      </c>
      <c r="M438" s="796" t="s">
        <v>1344</v>
      </c>
      <c r="N438" s="796" t="str">
        <f t="shared" si="115"/>
        <v>I</v>
      </c>
      <c r="Q438" s="796" t="s">
        <v>1345</v>
      </c>
      <c r="R438" s="796" t="str">
        <f t="shared" si="109"/>
        <v>I</v>
      </c>
      <c r="S438" s="796" t="s">
        <v>1346</v>
      </c>
      <c r="T438" s="796" t="str">
        <f t="shared" si="110"/>
        <v>III</v>
      </c>
      <c r="AG438" s="796"/>
      <c r="AH438" s="796"/>
      <c r="AI438" s="796"/>
      <c r="AJ438" s="796"/>
      <c r="AK438" s="796"/>
      <c r="AL438" s="796"/>
      <c r="AM438" s="796"/>
      <c r="AN438" s="796"/>
      <c r="AO438" s="796"/>
      <c r="AP438" s="796"/>
      <c r="AQ438" s="796"/>
      <c r="AR438" s="796"/>
      <c r="AS438" s="796"/>
      <c r="AT438" s="796"/>
      <c r="AU438" s="796"/>
      <c r="AV438" s="796"/>
      <c r="AW438" s="796"/>
      <c r="AX438" s="796"/>
      <c r="AY438" s="796"/>
      <c r="AZ438" s="796"/>
      <c r="BA438" s="796"/>
      <c r="BB438" s="796"/>
      <c r="BC438" s="796"/>
      <c r="BD438" s="796"/>
      <c r="BE438" s="796"/>
      <c r="BF438" s="796"/>
      <c r="BG438" s="796"/>
      <c r="BH438" s="796"/>
      <c r="BI438" s="796"/>
      <c r="BJ438" s="796"/>
      <c r="BK438" s="796"/>
      <c r="BL438" s="796"/>
    </row>
    <row r="439" spans="1:64" ht="15" customHeight="1">
      <c r="A439" s="796" t="s">
        <v>1347</v>
      </c>
      <c r="B439" s="795" t="str">
        <f t="shared" si="105"/>
        <v>II</v>
      </c>
      <c r="C439" s="796" t="s">
        <v>1348</v>
      </c>
      <c r="D439" s="795" t="str">
        <f t="shared" si="106"/>
        <v>II</v>
      </c>
      <c r="M439" s="796" t="s">
        <v>1349</v>
      </c>
      <c r="N439" s="796" t="str">
        <f t="shared" si="115"/>
        <v>VI</v>
      </c>
      <c r="Q439" s="796" t="s">
        <v>1350</v>
      </c>
      <c r="R439" s="796" t="str">
        <f t="shared" si="109"/>
        <v>II</v>
      </c>
      <c r="S439" s="796" t="s">
        <v>1351</v>
      </c>
      <c r="T439" s="796" t="str">
        <f t="shared" si="110"/>
        <v>IV</v>
      </c>
      <c r="AG439" s="796"/>
      <c r="AH439" s="796"/>
      <c r="AI439" s="796"/>
      <c r="AJ439" s="796"/>
      <c r="AK439" s="796"/>
      <c r="AL439" s="796"/>
      <c r="AM439" s="796"/>
      <c r="AN439" s="796"/>
      <c r="AO439" s="796"/>
      <c r="AP439" s="796"/>
      <c r="AQ439" s="796"/>
      <c r="AR439" s="796"/>
      <c r="AS439" s="796"/>
      <c r="AT439" s="796"/>
      <c r="AU439" s="796"/>
      <c r="AV439" s="796"/>
      <c r="AW439" s="796"/>
      <c r="AX439" s="796"/>
      <c r="AY439" s="796"/>
      <c r="AZ439" s="796"/>
      <c r="BA439" s="796"/>
      <c r="BB439" s="796"/>
      <c r="BC439" s="796"/>
      <c r="BD439" s="796"/>
      <c r="BE439" s="796"/>
      <c r="BF439" s="796"/>
      <c r="BG439" s="796"/>
      <c r="BH439" s="796"/>
      <c r="BI439" s="796"/>
      <c r="BJ439" s="796"/>
      <c r="BK439" s="796"/>
      <c r="BL439" s="796"/>
    </row>
    <row r="440" spans="1:64" ht="15" customHeight="1">
      <c r="A440" s="796" t="s">
        <v>1352</v>
      </c>
      <c r="B440" s="795" t="str">
        <f t="shared" si="105"/>
        <v>II</v>
      </c>
      <c r="C440" s="796" t="s">
        <v>1353</v>
      </c>
      <c r="D440" s="795" t="str">
        <f t="shared" si="106"/>
        <v>II</v>
      </c>
      <c r="M440" s="796" t="s">
        <v>1354</v>
      </c>
      <c r="N440" s="796" t="str">
        <f t="shared" si="115"/>
        <v>V</v>
      </c>
      <c r="Q440" s="796" t="s">
        <v>1355</v>
      </c>
      <c r="R440" s="796" t="str">
        <f t="shared" si="109"/>
        <v>I</v>
      </c>
      <c r="S440" s="796" t="s">
        <v>1356</v>
      </c>
      <c r="T440" s="796" t="str">
        <f t="shared" si="110"/>
        <v>II</v>
      </c>
      <c r="AG440" s="796"/>
      <c r="AH440" s="796"/>
      <c r="AI440" s="796"/>
      <c r="AJ440" s="796"/>
      <c r="AK440" s="796"/>
      <c r="AL440" s="796"/>
      <c r="AM440" s="796"/>
      <c r="AN440" s="796"/>
      <c r="AO440" s="796"/>
      <c r="AP440" s="796"/>
      <c r="AQ440" s="796"/>
      <c r="AR440" s="796"/>
      <c r="AS440" s="796"/>
      <c r="AT440" s="796"/>
      <c r="AU440" s="796"/>
      <c r="AV440" s="796"/>
      <c r="AW440" s="796"/>
      <c r="AX440" s="796"/>
      <c r="AY440" s="796"/>
      <c r="AZ440" s="796"/>
      <c r="BA440" s="796"/>
      <c r="BB440" s="796"/>
      <c r="BC440" s="796"/>
      <c r="BD440" s="796"/>
      <c r="BE440" s="796"/>
      <c r="BF440" s="796"/>
      <c r="BG440" s="796"/>
      <c r="BH440" s="796"/>
      <c r="BI440" s="796"/>
      <c r="BJ440" s="796"/>
      <c r="BK440" s="796"/>
      <c r="BL440" s="796"/>
    </row>
    <row r="441" spans="1:64" ht="15" customHeight="1">
      <c r="A441" s="796" t="s">
        <v>1357</v>
      </c>
      <c r="B441" s="795" t="str">
        <f t="shared" si="105"/>
        <v>I</v>
      </c>
      <c r="C441" s="796" t="s">
        <v>1358</v>
      </c>
      <c r="D441" s="795" t="str">
        <f t="shared" si="106"/>
        <v>I</v>
      </c>
      <c r="M441" s="796" t="s">
        <v>1359</v>
      </c>
      <c r="N441" s="796" t="str">
        <f t="shared" si="115"/>
        <v>II</v>
      </c>
      <c r="Q441" s="796" t="s">
        <v>1360</v>
      </c>
      <c r="R441" s="796" t="str">
        <f t="shared" si="109"/>
        <v>I</v>
      </c>
      <c r="S441" s="796" t="s">
        <v>1361</v>
      </c>
      <c r="T441" s="796" t="str">
        <f t="shared" si="110"/>
        <v>II</v>
      </c>
      <c r="AG441" s="796"/>
      <c r="AH441" s="796"/>
      <c r="AI441" s="796"/>
      <c r="AJ441" s="796"/>
      <c r="AK441" s="796"/>
      <c r="AL441" s="796"/>
      <c r="AM441" s="796"/>
      <c r="AN441" s="796"/>
      <c r="AO441" s="796"/>
      <c r="AP441" s="796"/>
      <c r="AQ441" s="796"/>
      <c r="AR441" s="796"/>
      <c r="AS441" s="796"/>
      <c r="AT441" s="796"/>
      <c r="AU441" s="796"/>
      <c r="AV441" s="796"/>
      <c r="AW441" s="796"/>
      <c r="AX441" s="796"/>
      <c r="AY441" s="796"/>
      <c r="AZ441" s="796"/>
      <c r="BA441" s="796"/>
      <c r="BB441" s="796"/>
      <c r="BC441" s="796"/>
      <c r="BD441" s="796"/>
      <c r="BE441" s="796"/>
      <c r="BF441" s="796"/>
      <c r="BG441" s="796"/>
      <c r="BH441" s="796"/>
      <c r="BI441" s="796"/>
      <c r="BJ441" s="796"/>
      <c r="BK441" s="796"/>
      <c r="BL441" s="796"/>
    </row>
    <row r="442" spans="1:64" ht="15" customHeight="1">
      <c r="A442" s="796" t="s">
        <v>1362</v>
      </c>
      <c r="B442" s="795" t="str">
        <f t="shared" si="105"/>
        <v>IV</v>
      </c>
      <c r="C442" s="796" t="s">
        <v>1363</v>
      </c>
      <c r="D442" s="795" t="str">
        <f t="shared" si="106"/>
        <v>IV</v>
      </c>
      <c r="M442" s="796" t="s">
        <v>1364</v>
      </c>
      <c r="N442" s="796" t="str">
        <f t="shared" si="115"/>
        <v>II</v>
      </c>
      <c r="Q442" s="796" t="s">
        <v>1365</v>
      </c>
      <c r="R442" s="796" t="str">
        <f t="shared" si="109"/>
        <v>I</v>
      </c>
      <c r="S442" s="796" t="s">
        <v>1366</v>
      </c>
      <c r="T442" s="796" t="str">
        <f t="shared" si="110"/>
        <v>IV</v>
      </c>
      <c r="AG442" s="796"/>
      <c r="AH442" s="796"/>
      <c r="AI442" s="796"/>
      <c r="AJ442" s="796"/>
      <c r="AK442" s="796"/>
      <c r="AL442" s="796"/>
      <c r="AM442" s="796"/>
      <c r="AN442" s="796"/>
      <c r="AO442" s="796"/>
      <c r="AP442" s="796"/>
      <c r="AQ442" s="796"/>
      <c r="AR442" s="796"/>
      <c r="AS442" s="796"/>
      <c r="AT442" s="796"/>
      <c r="AU442" s="796"/>
      <c r="AV442" s="796"/>
      <c r="AW442" s="796"/>
      <c r="AX442" s="796"/>
      <c r="AY442" s="796"/>
      <c r="AZ442" s="796"/>
      <c r="BA442" s="796"/>
      <c r="BB442" s="796"/>
      <c r="BC442" s="796"/>
      <c r="BD442" s="796"/>
      <c r="BE442" s="796"/>
      <c r="BF442" s="796"/>
      <c r="BG442" s="796"/>
      <c r="BH442" s="796"/>
      <c r="BI442" s="796"/>
      <c r="BJ442" s="796"/>
      <c r="BK442" s="796"/>
      <c r="BL442" s="796"/>
    </row>
    <row r="443" spans="1:64" ht="15" customHeight="1">
      <c r="A443" s="796" t="s">
        <v>1367</v>
      </c>
      <c r="B443" s="795" t="str">
        <f t="shared" si="105"/>
        <v>IV</v>
      </c>
      <c r="C443" s="796" t="s">
        <v>1368</v>
      </c>
      <c r="D443" s="795" t="str">
        <f t="shared" si="106"/>
        <v>I</v>
      </c>
      <c r="M443" s="796" t="s">
        <v>1369</v>
      </c>
      <c r="N443" s="796" t="str">
        <f t="shared" si="115"/>
        <v>VI</v>
      </c>
      <c r="Q443" s="796" t="s">
        <v>1370</v>
      </c>
      <c r="R443" s="796" t="str">
        <f t="shared" si="109"/>
        <v>I</v>
      </c>
      <c r="S443" s="796" t="s">
        <v>1371</v>
      </c>
      <c r="T443" s="796" t="str">
        <f t="shared" si="110"/>
        <v>III</v>
      </c>
      <c r="AG443" s="796"/>
      <c r="AH443" s="796"/>
      <c r="AI443" s="796"/>
      <c r="AJ443" s="796"/>
      <c r="AK443" s="796"/>
      <c r="AL443" s="796"/>
      <c r="AM443" s="796"/>
      <c r="AN443" s="796"/>
      <c r="AO443" s="796"/>
      <c r="AP443" s="796"/>
      <c r="AQ443" s="796"/>
      <c r="AR443" s="796"/>
      <c r="AS443" s="796"/>
      <c r="AT443" s="796"/>
      <c r="AU443" s="796"/>
      <c r="AV443" s="796"/>
      <c r="AW443" s="796"/>
      <c r="AX443" s="796"/>
      <c r="AY443" s="796"/>
      <c r="AZ443" s="796"/>
      <c r="BA443" s="796"/>
      <c r="BB443" s="796"/>
      <c r="BC443" s="796"/>
      <c r="BD443" s="796"/>
      <c r="BE443" s="796"/>
      <c r="BF443" s="796"/>
      <c r="BG443" s="796"/>
      <c r="BH443" s="796"/>
      <c r="BI443" s="796"/>
      <c r="BJ443" s="796"/>
      <c r="BK443" s="796"/>
      <c r="BL443" s="796"/>
    </row>
    <row r="444" spans="1:64" ht="15" customHeight="1">
      <c r="A444" s="796" t="s">
        <v>1372</v>
      </c>
      <c r="B444" s="795" t="str">
        <f t="shared" si="105"/>
        <v>III</v>
      </c>
      <c r="C444" s="796" t="s">
        <v>1373</v>
      </c>
      <c r="D444" s="795" t="str">
        <f t="shared" si="106"/>
        <v>I</v>
      </c>
      <c r="M444" s="796" t="s">
        <v>1374</v>
      </c>
      <c r="N444" s="796" t="str">
        <f t="shared" si="115"/>
        <v>III</v>
      </c>
      <c r="Q444" s="796" t="s">
        <v>1375</v>
      </c>
      <c r="R444" s="796" t="str">
        <f t="shared" si="109"/>
        <v>I</v>
      </c>
      <c r="S444" s="796" t="s">
        <v>1376</v>
      </c>
      <c r="T444" s="796" t="str">
        <f t="shared" si="110"/>
        <v>II</v>
      </c>
      <c r="AG444" s="796"/>
      <c r="AH444" s="796"/>
      <c r="AI444" s="796"/>
      <c r="AJ444" s="796"/>
      <c r="AK444" s="796"/>
      <c r="AL444" s="796"/>
      <c r="AM444" s="796"/>
      <c r="AN444" s="796"/>
      <c r="AO444" s="796"/>
      <c r="AP444" s="796"/>
      <c r="AQ444" s="796"/>
      <c r="AR444" s="796"/>
      <c r="AS444" s="796"/>
      <c r="AT444" s="796"/>
      <c r="AU444" s="796"/>
      <c r="AV444" s="796"/>
      <c r="AW444" s="796"/>
      <c r="AX444" s="796"/>
      <c r="AY444" s="796"/>
      <c r="AZ444" s="796"/>
      <c r="BA444" s="796"/>
      <c r="BB444" s="796"/>
      <c r="BC444" s="796"/>
      <c r="BD444" s="796"/>
      <c r="BE444" s="796"/>
      <c r="BF444" s="796"/>
      <c r="BG444" s="796"/>
      <c r="BH444" s="796"/>
      <c r="BI444" s="796"/>
      <c r="BJ444" s="796"/>
      <c r="BK444" s="796"/>
      <c r="BL444" s="796"/>
    </row>
    <row r="445" spans="1:64" ht="15" customHeight="1">
      <c r="A445" s="796" t="s">
        <v>1377</v>
      </c>
      <c r="B445" s="795" t="str">
        <f t="shared" si="105"/>
        <v>II</v>
      </c>
      <c r="C445" s="796" t="s">
        <v>1378</v>
      </c>
      <c r="D445" s="795" t="str">
        <f t="shared" si="106"/>
        <v>III</v>
      </c>
      <c r="M445" s="796" t="s">
        <v>1379</v>
      </c>
      <c r="N445" s="796" t="str">
        <f t="shared" si="115"/>
        <v>II</v>
      </c>
      <c r="Q445" s="796" t="s">
        <v>1380</v>
      </c>
      <c r="R445" s="796">
        <f t="shared" si="109"/>
        <v>0</v>
      </c>
      <c r="S445" s="796" t="s">
        <v>1381</v>
      </c>
      <c r="T445" s="796" t="str">
        <f t="shared" si="110"/>
        <v>II</v>
      </c>
      <c r="AG445" s="796"/>
      <c r="AH445" s="796"/>
      <c r="AI445" s="796"/>
      <c r="AJ445" s="796"/>
      <c r="AK445" s="796"/>
      <c r="AL445" s="796"/>
      <c r="AM445" s="796"/>
      <c r="AN445" s="796"/>
      <c r="AO445" s="796"/>
      <c r="AP445" s="796"/>
      <c r="AQ445" s="796"/>
      <c r="AR445" s="796"/>
      <c r="AS445" s="796"/>
      <c r="AT445" s="796"/>
      <c r="AU445" s="796"/>
      <c r="AV445" s="796"/>
      <c r="AW445" s="796"/>
      <c r="AX445" s="796"/>
      <c r="AY445" s="796"/>
      <c r="AZ445" s="796"/>
      <c r="BA445" s="796"/>
      <c r="BB445" s="796"/>
      <c r="BC445" s="796"/>
      <c r="BD445" s="796"/>
      <c r="BE445" s="796"/>
      <c r="BF445" s="796"/>
      <c r="BG445" s="796"/>
      <c r="BH445" s="796"/>
      <c r="BI445" s="796"/>
      <c r="BJ445" s="796"/>
      <c r="BK445" s="796"/>
      <c r="BL445" s="796"/>
    </row>
    <row r="446" spans="1:64" ht="15" customHeight="1">
      <c r="A446" s="796" t="s">
        <v>1382</v>
      </c>
      <c r="B446" s="795" t="str">
        <f t="shared" si="105"/>
        <v>II</v>
      </c>
      <c r="C446" s="796" t="s">
        <v>1383</v>
      </c>
      <c r="D446" s="795" t="str">
        <f t="shared" si="106"/>
        <v>I</v>
      </c>
      <c r="M446" s="796" t="s">
        <v>1384</v>
      </c>
      <c r="N446" s="796" t="str">
        <f t="shared" si="115"/>
        <v>I</v>
      </c>
      <c r="Q446" s="796" t="s">
        <v>1385</v>
      </c>
      <c r="R446" s="796" t="str">
        <f t="shared" si="109"/>
        <v>I</v>
      </c>
      <c r="S446" s="796" t="s">
        <v>1386</v>
      </c>
      <c r="T446" s="796" t="str">
        <f t="shared" si="110"/>
        <v>III</v>
      </c>
      <c r="AG446" s="796"/>
      <c r="AH446" s="796"/>
      <c r="AI446" s="796"/>
      <c r="AJ446" s="796"/>
      <c r="AK446" s="796"/>
      <c r="AL446" s="796"/>
      <c r="AM446" s="796"/>
      <c r="AN446" s="796"/>
      <c r="AO446" s="796"/>
      <c r="AP446" s="796"/>
      <c r="AQ446" s="796"/>
      <c r="AR446" s="796"/>
      <c r="AS446" s="796"/>
      <c r="AT446" s="796"/>
      <c r="AU446" s="796"/>
      <c r="AV446" s="796"/>
      <c r="AW446" s="796"/>
      <c r="AX446" s="796"/>
      <c r="AY446" s="796"/>
      <c r="AZ446" s="796"/>
      <c r="BA446" s="796"/>
      <c r="BB446" s="796"/>
      <c r="BC446" s="796"/>
      <c r="BD446" s="796"/>
      <c r="BE446" s="796"/>
      <c r="BF446" s="796"/>
      <c r="BG446" s="796"/>
      <c r="BH446" s="796"/>
      <c r="BI446" s="796"/>
      <c r="BJ446" s="796"/>
      <c r="BK446" s="796"/>
      <c r="BL446" s="796"/>
    </row>
    <row r="447" spans="1:64" ht="15" customHeight="1">
      <c r="A447" s="796" t="s">
        <v>1387</v>
      </c>
      <c r="B447" s="795" t="str">
        <f t="shared" si="105"/>
        <v>II</v>
      </c>
      <c r="C447" s="796" t="s">
        <v>1388</v>
      </c>
      <c r="D447" s="795" t="str">
        <f t="shared" si="106"/>
        <v>I</v>
      </c>
      <c r="M447" s="796" t="s">
        <v>1389</v>
      </c>
      <c r="N447" s="796" t="str">
        <f t="shared" si="115"/>
        <v>II</v>
      </c>
      <c r="Q447" s="796" t="s">
        <v>1390</v>
      </c>
      <c r="R447" s="796" t="str">
        <f t="shared" si="109"/>
        <v>I</v>
      </c>
      <c r="S447" s="796" t="s">
        <v>1391</v>
      </c>
      <c r="T447" s="796" t="str">
        <f t="shared" si="110"/>
        <v>II</v>
      </c>
      <c r="AG447" s="796"/>
      <c r="AH447" s="796"/>
      <c r="AI447" s="796"/>
      <c r="AJ447" s="796"/>
      <c r="AK447" s="796"/>
      <c r="AL447" s="796"/>
      <c r="AM447" s="796"/>
      <c r="AN447" s="796"/>
      <c r="AO447" s="796"/>
      <c r="AP447" s="796"/>
      <c r="AQ447" s="796"/>
      <c r="AR447" s="796"/>
      <c r="AS447" s="796"/>
      <c r="AT447" s="796"/>
      <c r="AU447" s="796"/>
      <c r="AV447" s="796"/>
      <c r="AW447" s="796"/>
      <c r="AX447" s="796"/>
      <c r="AY447" s="796"/>
      <c r="AZ447" s="796"/>
      <c r="BA447" s="796"/>
      <c r="BB447" s="796"/>
      <c r="BC447" s="796"/>
      <c r="BD447" s="796"/>
      <c r="BE447" s="796"/>
      <c r="BF447" s="796"/>
      <c r="BG447" s="796"/>
      <c r="BH447" s="796"/>
      <c r="BI447" s="796"/>
      <c r="BJ447" s="796"/>
      <c r="BK447" s="796"/>
      <c r="BL447" s="796"/>
    </row>
    <row r="448" spans="1:64" ht="15" customHeight="1">
      <c r="A448" s="796" t="s">
        <v>1392</v>
      </c>
      <c r="B448" s="795" t="str">
        <f t="shared" si="105"/>
        <v>III</v>
      </c>
      <c r="C448" s="796" t="s">
        <v>1393</v>
      </c>
      <c r="D448" s="795" t="str">
        <f t="shared" si="106"/>
        <v>V</v>
      </c>
      <c r="M448" s="796" t="s">
        <v>1394</v>
      </c>
      <c r="N448" s="796" t="str">
        <f t="shared" si="115"/>
        <v>II</v>
      </c>
      <c r="Q448" s="796" t="s">
        <v>1395</v>
      </c>
      <c r="R448" s="796" t="str">
        <f t="shared" si="109"/>
        <v>I</v>
      </c>
      <c r="S448" s="796" t="s">
        <v>1396</v>
      </c>
      <c r="T448" s="796" t="str">
        <f t="shared" si="110"/>
        <v>III</v>
      </c>
      <c r="AG448" s="796"/>
      <c r="AH448" s="796"/>
      <c r="AI448" s="796"/>
      <c r="AJ448" s="796"/>
      <c r="AK448" s="796"/>
      <c r="AL448" s="796"/>
      <c r="AM448" s="796"/>
      <c r="AN448" s="796"/>
      <c r="AO448" s="796"/>
      <c r="AP448" s="796"/>
      <c r="AQ448" s="796"/>
      <c r="AR448" s="796"/>
      <c r="AS448" s="796"/>
      <c r="AT448" s="796"/>
      <c r="AU448" s="796"/>
      <c r="AV448" s="796"/>
      <c r="AW448" s="796"/>
      <c r="AX448" s="796"/>
      <c r="AY448" s="796"/>
      <c r="AZ448" s="796"/>
      <c r="BA448" s="796"/>
      <c r="BB448" s="796"/>
      <c r="BC448" s="796"/>
      <c r="BD448" s="796"/>
      <c r="BE448" s="796"/>
      <c r="BF448" s="796"/>
      <c r="BG448" s="796"/>
      <c r="BH448" s="796"/>
      <c r="BI448" s="796"/>
      <c r="BJ448" s="796"/>
      <c r="BK448" s="796"/>
      <c r="BL448" s="796"/>
    </row>
    <row r="449" spans="1:64" ht="15" customHeight="1">
      <c r="A449" s="796" t="s">
        <v>1397</v>
      </c>
      <c r="B449" s="795" t="str">
        <f t="shared" si="105"/>
        <v>I</v>
      </c>
      <c r="C449" s="796" t="s">
        <v>1398</v>
      </c>
      <c r="D449" s="795" t="str">
        <f t="shared" si="106"/>
        <v>I</v>
      </c>
      <c r="M449" s="796" t="s">
        <v>1399</v>
      </c>
      <c r="N449" s="796" t="str">
        <f t="shared" si="115"/>
        <v>III</v>
      </c>
      <c r="Q449" s="796" t="s">
        <v>1400</v>
      </c>
      <c r="R449" s="796" t="str">
        <f t="shared" si="109"/>
        <v>II</v>
      </c>
      <c r="S449" s="796" t="s">
        <v>1401</v>
      </c>
      <c r="T449" s="796" t="str">
        <f t="shared" si="110"/>
        <v>II</v>
      </c>
      <c r="AG449" s="796"/>
      <c r="AH449" s="796"/>
      <c r="AI449" s="796"/>
      <c r="AJ449" s="796"/>
      <c r="AK449" s="796"/>
      <c r="AL449" s="796"/>
      <c r="AM449" s="796"/>
      <c r="AN449" s="796"/>
      <c r="AO449" s="796"/>
      <c r="AP449" s="796"/>
      <c r="AQ449" s="796"/>
      <c r="AR449" s="796"/>
      <c r="AS449" s="796"/>
      <c r="AT449" s="796"/>
      <c r="AU449" s="796"/>
      <c r="AV449" s="796"/>
      <c r="AW449" s="796"/>
      <c r="AX449" s="796"/>
      <c r="AY449" s="796"/>
      <c r="AZ449" s="796"/>
      <c r="BA449" s="796"/>
      <c r="BB449" s="796"/>
      <c r="BC449" s="796"/>
      <c r="BD449" s="796"/>
      <c r="BE449" s="796"/>
      <c r="BF449" s="796"/>
      <c r="BG449" s="796"/>
      <c r="BH449" s="796"/>
      <c r="BI449" s="796"/>
      <c r="BJ449" s="796"/>
      <c r="BK449" s="796"/>
      <c r="BL449" s="796"/>
    </row>
    <row r="450" spans="1:64" ht="15" customHeight="1">
      <c r="A450" s="796" t="s">
        <v>1402</v>
      </c>
      <c r="B450" s="795" t="str">
        <f t="shared" si="105"/>
        <v>II</v>
      </c>
      <c r="C450" s="796" t="s">
        <v>1403</v>
      </c>
      <c r="D450" s="795" t="str">
        <f t="shared" si="106"/>
        <v>I</v>
      </c>
      <c r="M450" s="796" t="s">
        <v>1404</v>
      </c>
      <c r="N450" s="796" t="str">
        <f t="shared" si="115"/>
        <v>II</v>
      </c>
      <c r="Q450" s="796" t="s">
        <v>1405</v>
      </c>
      <c r="R450" s="796" t="str">
        <f t="shared" si="109"/>
        <v>I</v>
      </c>
      <c r="S450" s="796" t="s">
        <v>1406</v>
      </c>
      <c r="T450" s="796" t="str">
        <f t="shared" si="110"/>
        <v>II</v>
      </c>
      <c r="AG450" s="796"/>
      <c r="AH450" s="796"/>
      <c r="AI450" s="796"/>
      <c r="AJ450" s="796"/>
      <c r="AK450" s="796"/>
      <c r="AL450" s="796"/>
      <c r="AM450" s="796"/>
      <c r="AN450" s="796"/>
      <c r="AO450" s="796"/>
      <c r="AP450" s="796"/>
      <c r="AQ450" s="796"/>
      <c r="AR450" s="796"/>
      <c r="AS450" s="796"/>
      <c r="AT450" s="796"/>
      <c r="AU450" s="796"/>
      <c r="AV450" s="796"/>
      <c r="AW450" s="796"/>
      <c r="AX450" s="796"/>
      <c r="AY450" s="796"/>
      <c r="AZ450" s="796"/>
      <c r="BA450" s="796"/>
      <c r="BB450" s="796"/>
      <c r="BC450" s="796"/>
      <c r="BD450" s="796"/>
      <c r="BE450" s="796"/>
      <c r="BF450" s="796"/>
      <c r="BG450" s="796"/>
      <c r="BH450" s="796"/>
      <c r="BI450" s="796"/>
      <c r="BJ450" s="796"/>
      <c r="BK450" s="796"/>
      <c r="BL450" s="796"/>
    </row>
    <row r="451" spans="1:64" ht="15" customHeight="1">
      <c r="A451" s="796" t="s">
        <v>1407</v>
      </c>
      <c r="B451" s="795" t="str">
        <f t="shared" si="105"/>
        <v>I</v>
      </c>
      <c r="C451" s="796" t="s">
        <v>1408</v>
      </c>
      <c r="D451" s="795" t="str">
        <f t="shared" si="106"/>
        <v>I</v>
      </c>
      <c r="M451" s="796" t="s">
        <v>1409</v>
      </c>
      <c r="N451" s="796" t="str">
        <f t="shared" si="115"/>
        <v>II</v>
      </c>
      <c r="Q451" s="796" t="s">
        <v>1410</v>
      </c>
      <c r="R451" s="796" t="str">
        <f t="shared" si="109"/>
        <v>I</v>
      </c>
      <c r="S451" s="796" t="s">
        <v>1411</v>
      </c>
      <c r="T451" s="796" t="str">
        <f t="shared" si="110"/>
        <v>V</v>
      </c>
      <c r="AG451" s="796"/>
      <c r="AH451" s="796"/>
      <c r="AI451" s="796"/>
      <c r="AJ451" s="796"/>
      <c r="AK451" s="796"/>
      <c r="AL451" s="796"/>
      <c r="AM451" s="796"/>
      <c r="AN451" s="796"/>
      <c r="AO451" s="796"/>
      <c r="AP451" s="796"/>
      <c r="AQ451" s="796"/>
      <c r="AR451" s="796"/>
      <c r="AS451" s="796"/>
      <c r="AT451" s="796"/>
      <c r="AU451" s="796"/>
      <c r="AV451" s="796"/>
      <c r="AW451" s="796"/>
      <c r="AX451" s="796"/>
      <c r="AY451" s="796"/>
      <c r="AZ451" s="796"/>
      <c r="BA451" s="796"/>
      <c r="BB451" s="796"/>
      <c r="BC451" s="796"/>
      <c r="BD451" s="796"/>
      <c r="BE451" s="796"/>
      <c r="BF451" s="796"/>
      <c r="BG451" s="796"/>
      <c r="BH451" s="796"/>
      <c r="BI451" s="796"/>
      <c r="BJ451" s="796"/>
      <c r="BK451" s="796"/>
      <c r="BL451" s="796"/>
    </row>
    <row r="452" spans="1:64" ht="15" customHeight="1">
      <c r="A452" s="796" t="s">
        <v>1412</v>
      </c>
      <c r="B452" s="795" t="str">
        <f t="shared" ref="B452:B515" si="116">VLOOKUP(A452,BaWü,IF(Jahreszahl&lt;2020,3,2))</f>
        <v>II</v>
      </c>
      <c r="C452" s="796" t="s">
        <v>1413</v>
      </c>
      <c r="D452" s="795" t="str">
        <f t="shared" ref="D452:D515" si="117">VLOOKUP(C452,Bayern,IF(Jahreszahl&lt;2020,3,2))</f>
        <v>I</v>
      </c>
      <c r="M452" s="796" t="s">
        <v>1414</v>
      </c>
      <c r="N452" s="796" t="str">
        <f t="shared" ref="N452:N483" si="118">VLOOKUP(M452,Hessen,IF(Jahreszahl&lt;2020,3,2))</f>
        <v>IV</v>
      </c>
      <c r="Q452" s="796" t="s">
        <v>1415</v>
      </c>
      <c r="R452" s="796" t="str">
        <f t="shared" ref="R452:R515" si="119">VLOOKUP(Q452,Niedersachsen,IF(Jahreszahl&lt;2020,3,2))</f>
        <v>I</v>
      </c>
      <c r="S452" s="796" t="s">
        <v>1416</v>
      </c>
      <c r="T452" s="796" t="str">
        <f t="shared" ref="T452:T515" si="120">VLOOKUP(S452,NRW,IF(Jahreszahl&lt;2020,3,2))</f>
        <v>I</v>
      </c>
      <c r="AG452" s="796"/>
      <c r="AH452" s="796"/>
      <c r="AI452" s="796"/>
      <c r="AJ452" s="796"/>
      <c r="AK452" s="796"/>
      <c r="AL452" s="796"/>
      <c r="AM452" s="796"/>
      <c r="AN452" s="796"/>
      <c r="AO452" s="796"/>
      <c r="AP452" s="796"/>
      <c r="AQ452" s="796"/>
      <c r="AR452" s="796"/>
      <c r="AS452" s="796"/>
      <c r="AT452" s="796"/>
      <c r="AU452" s="796"/>
      <c r="AV452" s="796"/>
      <c r="AW452" s="796"/>
      <c r="AX452" s="796"/>
      <c r="AY452" s="796"/>
      <c r="AZ452" s="796"/>
      <c r="BA452" s="796"/>
      <c r="BB452" s="796"/>
      <c r="BC452" s="796"/>
      <c r="BD452" s="796"/>
      <c r="BE452" s="796"/>
      <c r="BF452" s="796"/>
      <c r="BG452" s="796"/>
      <c r="BH452" s="796"/>
      <c r="BI452" s="796"/>
      <c r="BJ452" s="796"/>
      <c r="BK452" s="796"/>
      <c r="BL452" s="796"/>
    </row>
    <row r="453" spans="1:64" ht="15" customHeight="1">
      <c r="A453" s="796" t="s">
        <v>1417</v>
      </c>
      <c r="B453" s="795" t="str">
        <f t="shared" si="116"/>
        <v>I</v>
      </c>
      <c r="C453" s="796" t="s">
        <v>1418</v>
      </c>
      <c r="D453" s="795" t="str">
        <f t="shared" si="117"/>
        <v>VI</v>
      </c>
      <c r="M453" s="796" t="s">
        <v>1419</v>
      </c>
      <c r="N453" s="796" t="str">
        <f t="shared" si="118"/>
        <v>V</v>
      </c>
      <c r="Q453" s="796" t="s">
        <v>1420</v>
      </c>
      <c r="R453" s="796" t="str">
        <f t="shared" si="119"/>
        <v>I</v>
      </c>
      <c r="S453" s="796" t="s">
        <v>1421</v>
      </c>
      <c r="T453" s="796" t="str">
        <f t="shared" si="120"/>
        <v>III</v>
      </c>
      <c r="AG453" s="796"/>
      <c r="AH453" s="796"/>
      <c r="AI453" s="796"/>
      <c r="AJ453" s="796"/>
      <c r="AK453" s="796"/>
      <c r="AL453" s="796"/>
      <c r="AM453" s="796"/>
      <c r="AN453" s="796"/>
      <c r="AO453" s="796"/>
      <c r="AP453" s="796"/>
      <c r="AQ453" s="796"/>
      <c r="AR453" s="796"/>
      <c r="AS453" s="796"/>
      <c r="AT453" s="796"/>
      <c r="AU453" s="796"/>
      <c r="AV453" s="796"/>
      <c r="AW453" s="796"/>
      <c r="AX453" s="796"/>
      <c r="AY453" s="796"/>
      <c r="AZ453" s="796"/>
      <c r="BA453" s="796"/>
      <c r="BB453" s="796"/>
      <c r="BC453" s="796"/>
      <c r="BD453" s="796"/>
      <c r="BE453" s="796"/>
      <c r="BF453" s="796"/>
      <c r="BG453" s="796"/>
      <c r="BH453" s="796"/>
      <c r="BI453" s="796"/>
      <c r="BJ453" s="796"/>
      <c r="BK453" s="796"/>
      <c r="BL453" s="796"/>
    </row>
    <row r="454" spans="1:64" ht="15" customHeight="1">
      <c r="A454" s="796" t="s">
        <v>1422</v>
      </c>
      <c r="B454" s="795" t="str">
        <f t="shared" si="116"/>
        <v>II</v>
      </c>
      <c r="C454" s="796" t="s">
        <v>1423</v>
      </c>
      <c r="D454" s="795" t="str">
        <f t="shared" si="117"/>
        <v>I</v>
      </c>
      <c r="M454" s="796" t="s">
        <v>1424</v>
      </c>
      <c r="N454" s="796" t="str">
        <f t="shared" si="118"/>
        <v>IV</v>
      </c>
      <c r="Q454" s="796" t="s">
        <v>1425</v>
      </c>
      <c r="R454" s="796" t="str">
        <f t="shared" si="119"/>
        <v>I</v>
      </c>
      <c r="S454" s="796" t="s">
        <v>1426</v>
      </c>
      <c r="T454" s="796" t="str">
        <f t="shared" si="120"/>
        <v>I</v>
      </c>
      <c r="AG454" s="796"/>
      <c r="AH454" s="796"/>
      <c r="AI454" s="796"/>
      <c r="AJ454" s="796"/>
      <c r="AK454" s="796"/>
      <c r="AL454" s="796"/>
      <c r="AM454" s="796"/>
      <c r="AN454" s="796"/>
      <c r="AO454" s="796"/>
      <c r="AP454" s="796"/>
      <c r="AQ454" s="796"/>
      <c r="AR454" s="796"/>
      <c r="AS454" s="796"/>
      <c r="AT454" s="796"/>
      <c r="AU454" s="796"/>
      <c r="AV454" s="796"/>
      <c r="AW454" s="796"/>
      <c r="AX454" s="796"/>
      <c r="AY454" s="796"/>
      <c r="AZ454" s="796"/>
      <c r="BA454" s="796"/>
      <c r="BB454" s="796"/>
      <c r="BC454" s="796"/>
      <c r="BD454" s="796"/>
      <c r="BE454" s="796"/>
      <c r="BF454" s="796"/>
      <c r="BG454" s="796"/>
      <c r="BH454" s="796"/>
      <c r="BI454" s="796"/>
      <c r="BJ454" s="796"/>
      <c r="BK454" s="796"/>
      <c r="BL454" s="796"/>
    </row>
    <row r="455" spans="1:64" ht="15" customHeight="1">
      <c r="A455" s="796" t="s">
        <v>1427</v>
      </c>
      <c r="B455" s="795" t="str">
        <f t="shared" si="116"/>
        <v>II</v>
      </c>
      <c r="C455" s="796" t="s">
        <v>1428</v>
      </c>
      <c r="D455" s="795" t="str">
        <f t="shared" si="117"/>
        <v>IV</v>
      </c>
      <c r="M455" s="796" t="s">
        <v>1429</v>
      </c>
      <c r="N455" s="796" t="str">
        <f t="shared" si="118"/>
        <v>I</v>
      </c>
      <c r="Q455" s="796" t="s">
        <v>1430</v>
      </c>
      <c r="R455" s="796" t="str">
        <f t="shared" si="119"/>
        <v>I</v>
      </c>
      <c r="S455" s="796" t="s">
        <v>1431</v>
      </c>
      <c r="T455" s="796" t="str">
        <f t="shared" si="120"/>
        <v>I</v>
      </c>
      <c r="AG455" s="796"/>
      <c r="AH455" s="796"/>
      <c r="AI455" s="796"/>
      <c r="AJ455" s="796"/>
      <c r="AK455" s="796"/>
      <c r="AL455" s="796"/>
      <c r="AM455" s="796"/>
      <c r="AN455" s="796"/>
      <c r="AO455" s="796"/>
      <c r="AP455" s="796"/>
      <c r="AQ455" s="796"/>
      <c r="AR455" s="796"/>
      <c r="AS455" s="796"/>
      <c r="AT455" s="796"/>
      <c r="AU455" s="796"/>
      <c r="AV455" s="796"/>
      <c r="AW455" s="796"/>
      <c r="AX455" s="796"/>
      <c r="AY455" s="796"/>
      <c r="AZ455" s="796"/>
      <c r="BA455" s="796"/>
      <c r="BB455" s="796"/>
      <c r="BC455" s="796"/>
      <c r="BD455" s="796"/>
      <c r="BE455" s="796"/>
      <c r="BF455" s="796"/>
      <c r="BG455" s="796"/>
      <c r="BH455" s="796"/>
      <c r="BI455" s="796"/>
      <c r="BJ455" s="796"/>
      <c r="BK455" s="796"/>
      <c r="BL455" s="796"/>
    </row>
    <row r="456" spans="1:64" ht="15" customHeight="1">
      <c r="A456" s="796" t="s">
        <v>1432</v>
      </c>
      <c r="B456" s="795" t="str">
        <f t="shared" si="116"/>
        <v>III</v>
      </c>
      <c r="C456" s="796" t="s">
        <v>1433</v>
      </c>
      <c r="D456" s="795" t="str">
        <f t="shared" si="117"/>
        <v>III</v>
      </c>
      <c r="M456" s="796" t="s">
        <v>1434</v>
      </c>
      <c r="N456" s="796" t="str">
        <f t="shared" si="118"/>
        <v>II</v>
      </c>
      <c r="Q456" s="796" t="s">
        <v>1435</v>
      </c>
      <c r="R456" s="796" t="str">
        <f t="shared" si="119"/>
        <v>I</v>
      </c>
      <c r="S456" s="796" t="s">
        <v>1436</v>
      </c>
      <c r="T456" s="796" t="str">
        <f t="shared" si="120"/>
        <v>I</v>
      </c>
      <c r="AG456" s="796"/>
      <c r="AH456" s="796"/>
      <c r="AI456" s="796"/>
      <c r="AJ456" s="796"/>
      <c r="AK456" s="796"/>
      <c r="AL456" s="796"/>
      <c r="AM456" s="796"/>
      <c r="AN456" s="796"/>
      <c r="AO456" s="796"/>
      <c r="AP456" s="796"/>
      <c r="AQ456" s="796"/>
      <c r="AR456" s="796"/>
      <c r="AS456" s="796"/>
      <c r="AT456" s="796"/>
      <c r="AU456" s="796"/>
      <c r="AV456" s="796"/>
      <c r="AW456" s="796"/>
      <c r="AX456" s="796"/>
      <c r="AY456" s="796"/>
      <c r="AZ456" s="796"/>
      <c r="BA456" s="796"/>
      <c r="BB456" s="796"/>
      <c r="BC456" s="796"/>
      <c r="BD456" s="796"/>
      <c r="BE456" s="796"/>
      <c r="BF456" s="796"/>
      <c r="BG456" s="796"/>
      <c r="BH456" s="796"/>
      <c r="BI456" s="796"/>
      <c r="BJ456" s="796"/>
      <c r="BK456" s="796"/>
      <c r="BL456" s="796"/>
    </row>
    <row r="457" spans="1:64" ht="15" customHeight="1">
      <c r="A457" s="796" t="s">
        <v>1437</v>
      </c>
      <c r="B457" s="795" t="str">
        <f t="shared" si="116"/>
        <v>IV</v>
      </c>
      <c r="C457" s="796" t="s">
        <v>1438</v>
      </c>
      <c r="D457" s="795" t="str">
        <f t="shared" si="117"/>
        <v>I</v>
      </c>
      <c r="M457" s="796" t="s">
        <v>1439</v>
      </c>
      <c r="N457" s="796" t="str">
        <f t="shared" si="118"/>
        <v>V</v>
      </c>
      <c r="Q457" s="796" t="s">
        <v>1440</v>
      </c>
      <c r="R457" s="796" t="str">
        <f t="shared" si="119"/>
        <v>IV</v>
      </c>
      <c r="S457" s="796" t="s">
        <v>1441</v>
      </c>
      <c r="T457" s="796" t="str">
        <f t="shared" si="120"/>
        <v>I</v>
      </c>
      <c r="AG457" s="796"/>
      <c r="AH457" s="796"/>
      <c r="AI457" s="796"/>
      <c r="AJ457" s="796"/>
      <c r="AK457" s="796"/>
      <c r="AL457" s="796"/>
      <c r="AM457" s="796"/>
      <c r="AN457" s="796"/>
      <c r="AO457" s="796"/>
      <c r="AP457" s="796"/>
      <c r="AQ457" s="796"/>
      <c r="AR457" s="796"/>
      <c r="AS457" s="796"/>
      <c r="AT457" s="796"/>
      <c r="AU457" s="796"/>
      <c r="AV457" s="796"/>
      <c r="AW457" s="796"/>
      <c r="AX457" s="796"/>
      <c r="AY457" s="796"/>
      <c r="AZ457" s="796"/>
      <c r="BA457" s="796"/>
      <c r="BB457" s="796"/>
      <c r="BC457" s="796"/>
      <c r="BD457" s="796"/>
      <c r="BE457" s="796"/>
      <c r="BF457" s="796"/>
      <c r="BG457" s="796"/>
      <c r="BH457" s="796"/>
      <c r="BI457" s="796"/>
      <c r="BJ457" s="796"/>
      <c r="BK457" s="796"/>
      <c r="BL457" s="796"/>
    </row>
    <row r="458" spans="1:64" ht="15" customHeight="1">
      <c r="A458" s="796" t="s">
        <v>1442</v>
      </c>
      <c r="B458" s="795" t="str">
        <f t="shared" si="116"/>
        <v>I</v>
      </c>
      <c r="C458" s="796" t="s">
        <v>1443</v>
      </c>
      <c r="D458" s="795" t="str">
        <f t="shared" si="117"/>
        <v>IV</v>
      </c>
      <c r="M458" s="796" t="s">
        <v>1444</v>
      </c>
      <c r="N458" s="796" t="str">
        <f t="shared" si="118"/>
        <v>II</v>
      </c>
      <c r="Q458" s="796" t="s">
        <v>1445</v>
      </c>
      <c r="R458" s="796" t="str">
        <f t="shared" si="119"/>
        <v>I</v>
      </c>
      <c r="S458" s="796" t="s">
        <v>1446</v>
      </c>
      <c r="T458" s="796" t="str">
        <f t="shared" si="120"/>
        <v>II</v>
      </c>
      <c r="AG458" s="796"/>
      <c r="AH458" s="796"/>
      <c r="AI458" s="796"/>
      <c r="AJ458" s="796"/>
      <c r="AK458" s="796"/>
      <c r="AL458" s="796"/>
      <c r="AM458" s="796"/>
      <c r="AN458" s="796"/>
      <c r="AO458" s="796"/>
      <c r="AP458" s="796"/>
      <c r="AQ458" s="796"/>
      <c r="AR458" s="796"/>
      <c r="AS458" s="796"/>
      <c r="AT458" s="796"/>
      <c r="AU458" s="796"/>
      <c r="AV458" s="796"/>
      <c r="AW458" s="796"/>
      <c r="AX458" s="796"/>
      <c r="AY458" s="796"/>
      <c r="AZ458" s="796"/>
      <c r="BA458" s="796"/>
      <c r="BB458" s="796"/>
      <c r="BC458" s="796"/>
      <c r="BD458" s="796"/>
      <c r="BE458" s="796"/>
      <c r="BF458" s="796"/>
      <c r="BG458" s="796"/>
      <c r="BH458" s="796"/>
      <c r="BI458" s="796"/>
      <c r="BJ458" s="796"/>
      <c r="BK458" s="796"/>
      <c r="BL458" s="796"/>
    </row>
    <row r="459" spans="1:64" ht="15" customHeight="1">
      <c r="A459" s="796" t="s">
        <v>1447</v>
      </c>
      <c r="B459" s="795" t="str">
        <f t="shared" si="116"/>
        <v>I</v>
      </c>
      <c r="C459" s="796" t="s">
        <v>1448</v>
      </c>
      <c r="D459" s="795" t="str">
        <f t="shared" si="117"/>
        <v>I</v>
      </c>
      <c r="M459" s="796" t="s">
        <v>1449</v>
      </c>
      <c r="N459" s="796" t="str">
        <f t="shared" si="118"/>
        <v>V</v>
      </c>
      <c r="Q459" s="796" t="s">
        <v>1450</v>
      </c>
      <c r="R459" s="796">
        <f t="shared" si="119"/>
        <v>0</v>
      </c>
      <c r="S459" s="796" t="s">
        <v>1451</v>
      </c>
      <c r="T459" s="796" t="str">
        <f t="shared" si="120"/>
        <v>III</v>
      </c>
      <c r="AG459" s="796"/>
      <c r="AH459" s="796"/>
      <c r="AI459" s="796"/>
      <c r="AJ459" s="796"/>
      <c r="AK459" s="796"/>
      <c r="AL459" s="796"/>
      <c r="AM459" s="796"/>
      <c r="AN459" s="796"/>
      <c r="AO459" s="796"/>
      <c r="AP459" s="796"/>
      <c r="AQ459" s="796"/>
      <c r="AR459" s="796"/>
      <c r="AS459" s="796"/>
      <c r="AT459" s="796"/>
      <c r="AU459" s="796"/>
      <c r="AV459" s="796"/>
      <c r="AW459" s="796"/>
      <c r="AX459" s="796"/>
      <c r="AY459" s="796"/>
      <c r="AZ459" s="796"/>
      <c r="BA459" s="796"/>
      <c r="BB459" s="796"/>
      <c r="BC459" s="796"/>
      <c r="BD459" s="796"/>
      <c r="BE459" s="796"/>
      <c r="BF459" s="796"/>
      <c r="BG459" s="796"/>
      <c r="BH459" s="796"/>
      <c r="BI459" s="796"/>
      <c r="BJ459" s="796"/>
      <c r="BK459" s="796"/>
      <c r="BL459" s="796"/>
    </row>
    <row r="460" spans="1:64" ht="15" customHeight="1">
      <c r="A460" s="796" t="s">
        <v>1452</v>
      </c>
      <c r="B460" s="795" t="str">
        <f t="shared" si="116"/>
        <v>I</v>
      </c>
      <c r="C460" s="796" t="s">
        <v>1453</v>
      </c>
      <c r="D460" s="795" t="str">
        <f t="shared" si="117"/>
        <v>VI</v>
      </c>
      <c r="M460" s="796" t="s">
        <v>1454</v>
      </c>
      <c r="N460" s="796" t="str">
        <f t="shared" si="118"/>
        <v>V</v>
      </c>
      <c r="Q460" s="796" t="s">
        <v>1455</v>
      </c>
      <c r="R460" s="796" t="str">
        <f t="shared" si="119"/>
        <v>IV</v>
      </c>
      <c r="S460" s="796" t="s">
        <v>1456</v>
      </c>
      <c r="T460" s="796" t="str">
        <f t="shared" si="120"/>
        <v>I</v>
      </c>
      <c r="AG460" s="796"/>
      <c r="AH460" s="796"/>
      <c r="AI460" s="796"/>
      <c r="AJ460" s="796"/>
      <c r="AK460" s="796"/>
      <c r="AL460" s="796"/>
      <c r="AM460" s="796"/>
      <c r="AN460" s="796"/>
      <c r="AO460" s="796"/>
      <c r="AP460" s="796"/>
      <c r="AQ460" s="796"/>
      <c r="AR460" s="796"/>
      <c r="AS460" s="796"/>
      <c r="AT460" s="796"/>
      <c r="AU460" s="796"/>
      <c r="AV460" s="796"/>
      <c r="AW460" s="796"/>
      <c r="AX460" s="796"/>
      <c r="AY460" s="796"/>
      <c r="AZ460" s="796"/>
      <c r="BA460" s="796"/>
      <c r="BB460" s="796"/>
      <c r="BC460" s="796"/>
      <c r="BD460" s="796"/>
      <c r="BE460" s="796"/>
      <c r="BF460" s="796"/>
      <c r="BG460" s="796"/>
      <c r="BH460" s="796"/>
      <c r="BI460" s="796"/>
      <c r="BJ460" s="796"/>
      <c r="BK460" s="796"/>
      <c r="BL460" s="796"/>
    </row>
    <row r="461" spans="1:64" ht="15" customHeight="1">
      <c r="A461" s="796" t="s">
        <v>1457</v>
      </c>
      <c r="B461" s="795" t="str">
        <f t="shared" si="116"/>
        <v>II</v>
      </c>
      <c r="C461" s="796" t="s">
        <v>1458</v>
      </c>
      <c r="D461" s="795" t="str">
        <f t="shared" si="117"/>
        <v>III</v>
      </c>
      <c r="M461" s="796" t="s">
        <v>1459</v>
      </c>
      <c r="N461" s="796" t="str">
        <f t="shared" si="118"/>
        <v>IV</v>
      </c>
      <c r="Q461" s="796" t="s">
        <v>1460</v>
      </c>
      <c r="R461" s="796" t="str">
        <f t="shared" si="119"/>
        <v>I</v>
      </c>
      <c r="S461" s="796" t="s">
        <v>1461</v>
      </c>
      <c r="T461" s="796" t="str">
        <f t="shared" si="120"/>
        <v>III</v>
      </c>
      <c r="AG461" s="796"/>
      <c r="AH461" s="796"/>
      <c r="AI461" s="796"/>
      <c r="AJ461" s="796"/>
      <c r="AK461" s="796"/>
      <c r="AL461" s="796"/>
      <c r="AM461" s="796"/>
      <c r="AN461" s="796"/>
      <c r="AO461" s="796"/>
      <c r="AP461" s="796"/>
      <c r="AQ461" s="796"/>
      <c r="AR461" s="796"/>
      <c r="AS461" s="796"/>
      <c r="AT461" s="796"/>
      <c r="AU461" s="796"/>
      <c r="AV461" s="796"/>
      <c r="AW461" s="796"/>
      <c r="AX461" s="796"/>
      <c r="AY461" s="796"/>
      <c r="AZ461" s="796"/>
      <c r="BA461" s="796"/>
      <c r="BB461" s="796"/>
      <c r="BC461" s="796"/>
      <c r="BD461" s="796"/>
      <c r="BE461" s="796"/>
      <c r="BF461" s="796"/>
      <c r="BG461" s="796"/>
      <c r="BH461" s="796"/>
      <c r="BI461" s="796"/>
      <c r="BJ461" s="796"/>
      <c r="BK461" s="796"/>
      <c r="BL461" s="796"/>
    </row>
    <row r="462" spans="1:64" ht="15" customHeight="1">
      <c r="A462" s="796" t="s">
        <v>1462</v>
      </c>
      <c r="B462" s="795" t="str">
        <f t="shared" si="116"/>
        <v>II</v>
      </c>
      <c r="C462" s="796" t="s">
        <v>1463</v>
      </c>
      <c r="D462" s="795" t="str">
        <f t="shared" si="117"/>
        <v>IV</v>
      </c>
      <c r="M462" s="796" t="s">
        <v>1464</v>
      </c>
      <c r="N462" s="796" t="str">
        <f t="shared" si="118"/>
        <v>III</v>
      </c>
      <c r="Q462" s="796" t="s">
        <v>1465</v>
      </c>
      <c r="R462" s="796" t="str">
        <f t="shared" si="119"/>
        <v>II</v>
      </c>
      <c r="S462" s="796" t="s">
        <v>1466</v>
      </c>
      <c r="T462" s="796" t="str">
        <f t="shared" si="120"/>
        <v>V</v>
      </c>
      <c r="AG462" s="796"/>
      <c r="AH462" s="796"/>
      <c r="AI462" s="796"/>
      <c r="AJ462" s="796"/>
      <c r="AK462" s="796"/>
      <c r="AL462" s="796"/>
      <c r="AM462" s="796"/>
      <c r="AN462" s="796"/>
      <c r="AO462" s="796"/>
      <c r="AP462" s="796"/>
      <c r="AQ462" s="796"/>
      <c r="AR462" s="796"/>
      <c r="AS462" s="796"/>
      <c r="AT462" s="796"/>
      <c r="AU462" s="796"/>
      <c r="AV462" s="796"/>
      <c r="AW462" s="796"/>
      <c r="AX462" s="796"/>
      <c r="AY462" s="796"/>
      <c r="AZ462" s="796"/>
      <c r="BA462" s="796"/>
      <c r="BB462" s="796"/>
      <c r="BC462" s="796"/>
      <c r="BD462" s="796"/>
      <c r="BE462" s="796"/>
      <c r="BF462" s="796"/>
      <c r="BG462" s="796"/>
      <c r="BH462" s="796"/>
      <c r="BI462" s="796"/>
      <c r="BJ462" s="796"/>
      <c r="BK462" s="796"/>
      <c r="BL462" s="796"/>
    </row>
    <row r="463" spans="1:64" ht="15" customHeight="1">
      <c r="A463" s="796" t="s">
        <v>1467</v>
      </c>
      <c r="B463" s="795" t="str">
        <f t="shared" si="116"/>
        <v>II</v>
      </c>
      <c r="C463" s="796" t="s">
        <v>1468</v>
      </c>
      <c r="D463" s="795" t="str">
        <f t="shared" si="117"/>
        <v>II</v>
      </c>
      <c r="M463" s="796" t="s">
        <v>1469</v>
      </c>
      <c r="N463" s="796" t="str">
        <f t="shared" si="118"/>
        <v>IV</v>
      </c>
      <c r="Q463" s="796" t="s">
        <v>1470</v>
      </c>
      <c r="R463" s="796" t="str">
        <f t="shared" si="119"/>
        <v>II</v>
      </c>
      <c r="S463" s="796" t="s">
        <v>1471</v>
      </c>
      <c r="T463" s="796" t="str">
        <f t="shared" si="120"/>
        <v>II</v>
      </c>
      <c r="AG463" s="796"/>
      <c r="AH463" s="796"/>
      <c r="AI463" s="796"/>
      <c r="AJ463" s="796"/>
      <c r="AK463" s="796"/>
      <c r="AL463" s="796"/>
      <c r="AM463" s="796"/>
      <c r="AN463" s="796"/>
      <c r="AO463" s="796"/>
      <c r="AP463" s="796"/>
      <c r="AQ463" s="796"/>
      <c r="AR463" s="796"/>
      <c r="AS463" s="796"/>
      <c r="AT463" s="796"/>
      <c r="AU463" s="796"/>
      <c r="AV463" s="796"/>
      <c r="AW463" s="796"/>
      <c r="AX463" s="796"/>
      <c r="AY463" s="796"/>
      <c r="AZ463" s="796"/>
      <c r="BA463" s="796"/>
      <c r="BB463" s="796"/>
      <c r="BC463" s="796"/>
      <c r="BD463" s="796"/>
      <c r="BE463" s="796"/>
      <c r="BF463" s="796"/>
      <c r="BG463" s="796"/>
      <c r="BH463" s="796"/>
      <c r="BI463" s="796"/>
      <c r="BJ463" s="796"/>
      <c r="BK463" s="796"/>
      <c r="BL463" s="796"/>
    </row>
    <row r="464" spans="1:64" ht="15" customHeight="1">
      <c r="A464" s="796" t="s">
        <v>1472</v>
      </c>
      <c r="B464" s="795" t="str">
        <f t="shared" si="116"/>
        <v>II</v>
      </c>
      <c r="C464" s="796" t="s">
        <v>1473</v>
      </c>
      <c r="D464" s="795" t="str">
        <f t="shared" si="117"/>
        <v>I</v>
      </c>
      <c r="M464" s="796" t="s">
        <v>1474</v>
      </c>
      <c r="N464" s="796" t="str">
        <f t="shared" si="118"/>
        <v>I</v>
      </c>
      <c r="Q464" s="796" t="s">
        <v>1475</v>
      </c>
      <c r="R464" s="796" t="str">
        <f t="shared" si="119"/>
        <v>III</v>
      </c>
      <c r="S464" s="796" t="s">
        <v>1476</v>
      </c>
      <c r="T464" s="796" t="str">
        <f t="shared" si="120"/>
        <v>III</v>
      </c>
      <c r="AG464" s="796"/>
      <c r="AH464" s="796"/>
      <c r="AI464" s="796"/>
      <c r="AJ464" s="796"/>
      <c r="AK464" s="796"/>
      <c r="AL464" s="796"/>
      <c r="AM464" s="796"/>
      <c r="AN464" s="796"/>
      <c r="AO464" s="796"/>
      <c r="AP464" s="796"/>
      <c r="AQ464" s="796"/>
      <c r="AR464" s="796"/>
      <c r="AS464" s="796"/>
      <c r="AT464" s="796"/>
      <c r="AU464" s="796"/>
      <c r="AV464" s="796"/>
      <c r="AW464" s="796"/>
      <c r="AX464" s="796"/>
      <c r="AY464" s="796"/>
      <c r="AZ464" s="796"/>
      <c r="BA464" s="796"/>
      <c r="BB464" s="796"/>
      <c r="BC464" s="796"/>
      <c r="BD464" s="796"/>
      <c r="BE464" s="796"/>
      <c r="BF464" s="796"/>
      <c r="BG464" s="796"/>
      <c r="BH464" s="796"/>
      <c r="BI464" s="796"/>
      <c r="BJ464" s="796"/>
      <c r="BK464" s="796"/>
      <c r="BL464" s="796"/>
    </row>
    <row r="465" spans="1:64" ht="15" customHeight="1">
      <c r="A465" s="796" t="s">
        <v>1477</v>
      </c>
      <c r="B465" s="795" t="str">
        <f t="shared" si="116"/>
        <v>II</v>
      </c>
      <c r="C465" s="796" t="s">
        <v>1478</v>
      </c>
      <c r="D465" s="795" t="str">
        <f t="shared" si="117"/>
        <v>I</v>
      </c>
      <c r="M465" s="796" t="s">
        <v>1479</v>
      </c>
      <c r="N465" s="796" t="str">
        <f t="shared" si="118"/>
        <v>VI</v>
      </c>
      <c r="Q465" s="796" t="s">
        <v>1480</v>
      </c>
      <c r="R465" s="796" t="str">
        <f t="shared" si="119"/>
        <v>II</v>
      </c>
      <c r="S465" s="796" t="s">
        <v>1481</v>
      </c>
      <c r="T465" s="796" t="str">
        <f t="shared" si="120"/>
        <v>II</v>
      </c>
      <c r="AG465" s="796"/>
      <c r="AH465" s="796"/>
      <c r="AI465" s="796"/>
      <c r="AJ465" s="796"/>
      <c r="AK465" s="796"/>
      <c r="AL465" s="796"/>
      <c r="AM465" s="796"/>
      <c r="AN465" s="796"/>
      <c r="AO465" s="796"/>
      <c r="AP465" s="796"/>
      <c r="AQ465" s="796"/>
      <c r="AR465" s="796"/>
      <c r="AS465" s="796"/>
      <c r="AT465" s="796"/>
      <c r="AU465" s="796"/>
      <c r="AV465" s="796"/>
      <c r="AW465" s="796"/>
      <c r="AX465" s="796"/>
      <c r="AY465" s="796"/>
      <c r="AZ465" s="796"/>
      <c r="BA465" s="796"/>
      <c r="BB465" s="796"/>
      <c r="BC465" s="796"/>
      <c r="BD465" s="796"/>
      <c r="BE465" s="796"/>
      <c r="BF465" s="796"/>
      <c r="BG465" s="796"/>
      <c r="BH465" s="796"/>
      <c r="BI465" s="796"/>
      <c r="BJ465" s="796"/>
      <c r="BK465" s="796"/>
      <c r="BL465" s="796"/>
    </row>
    <row r="466" spans="1:64" ht="15" customHeight="1">
      <c r="A466" s="796" t="s">
        <v>1482</v>
      </c>
      <c r="B466" s="795" t="str">
        <f t="shared" si="116"/>
        <v>II</v>
      </c>
      <c r="C466" s="796" t="s">
        <v>1483</v>
      </c>
      <c r="D466" s="795" t="str">
        <f t="shared" si="117"/>
        <v>I</v>
      </c>
      <c r="M466" s="796" t="s">
        <v>1484</v>
      </c>
      <c r="N466" s="796" t="str">
        <f t="shared" si="118"/>
        <v>I</v>
      </c>
      <c r="Q466" s="796" t="s">
        <v>1485</v>
      </c>
      <c r="R466" s="796" t="str">
        <f t="shared" si="119"/>
        <v>III</v>
      </c>
      <c r="S466" s="796" t="s">
        <v>1486</v>
      </c>
      <c r="T466" s="796" t="str">
        <f t="shared" si="120"/>
        <v>II</v>
      </c>
      <c r="AG466" s="796"/>
      <c r="AH466" s="796"/>
      <c r="AI466" s="796"/>
      <c r="AJ466" s="796"/>
      <c r="AK466" s="796"/>
      <c r="AL466" s="796"/>
      <c r="AM466" s="796"/>
      <c r="AN466" s="796"/>
      <c r="AO466" s="796"/>
      <c r="AP466" s="796"/>
      <c r="AQ466" s="796"/>
      <c r="AR466" s="796"/>
      <c r="AS466" s="796"/>
      <c r="AT466" s="796"/>
      <c r="AU466" s="796"/>
      <c r="AV466" s="796"/>
      <c r="AW466" s="796"/>
      <c r="AX466" s="796"/>
      <c r="AY466" s="796"/>
      <c r="AZ466" s="796"/>
      <c r="BA466" s="796"/>
      <c r="BB466" s="796"/>
      <c r="BC466" s="796"/>
      <c r="BD466" s="796"/>
      <c r="BE466" s="796"/>
      <c r="BF466" s="796"/>
      <c r="BG466" s="796"/>
      <c r="BH466" s="796"/>
      <c r="BI466" s="796"/>
      <c r="BJ466" s="796"/>
      <c r="BK466" s="796"/>
      <c r="BL466" s="796"/>
    </row>
    <row r="467" spans="1:64" ht="15" customHeight="1">
      <c r="A467" s="796" t="s">
        <v>1487</v>
      </c>
      <c r="B467" s="795" t="str">
        <f t="shared" si="116"/>
        <v>I</v>
      </c>
      <c r="C467" s="796" t="s">
        <v>1488</v>
      </c>
      <c r="D467" s="795" t="str">
        <f t="shared" si="117"/>
        <v>I</v>
      </c>
      <c r="M467" s="796" t="s">
        <v>1489</v>
      </c>
      <c r="N467" s="796" t="str">
        <f t="shared" si="118"/>
        <v>III</v>
      </c>
      <c r="Q467" s="796" t="s">
        <v>1490</v>
      </c>
      <c r="R467" s="796" t="str">
        <f t="shared" si="119"/>
        <v>I</v>
      </c>
      <c r="S467" s="796" t="s">
        <v>1491</v>
      </c>
      <c r="T467" s="796" t="str">
        <f t="shared" si="120"/>
        <v>III</v>
      </c>
      <c r="AG467" s="796"/>
      <c r="AH467" s="796"/>
      <c r="AI467" s="796"/>
      <c r="AJ467" s="796"/>
      <c r="AK467" s="796"/>
      <c r="AL467" s="796"/>
      <c r="AM467" s="796"/>
      <c r="AN467" s="796"/>
      <c r="AO467" s="796"/>
      <c r="AP467" s="796"/>
      <c r="AQ467" s="796"/>
      <c r="AR467" s="796"/>
      <c r="AS467" s="796"/>
      <c r="AT467" s="796"/>
      <c r="AU467" s="796"/>
      <c r="AV467" s="796"/>
      <c r="AW467" s="796"/>
      <c r="AX467" s="796"/>
      <c r="AY467" s="796"/>
      <c r="AZ467" s="796"/>
      <c r="BA467" s="796"/>
      <c r="BB467" s="796"/>
      <c r="BC467" s="796"/>
      <c r="BD467" s="796"/>
      <c r="BE467" s="796"/>
      <c r="BF467" s="796"/>
      <c r="BG467" s="796"/>
      <c r="BH467" s="796"/>
      <c r="BI467" s="796"/>
      <c r="BJ467" s="796"/>
      <c r="BK467" s="796"/>
      <c r="BL467" s="796"/>
    </row>
    <row r="468" spans="1:64" ht="15" customHeight="1">
      <c r="A468" s="796" t="s">
        <v>1492</v>
      </c>
      <c r="B468" s="795" t="str">
        <f t="shared" si="116"/>
        <v>I</v>
      </c>
      <c r="C468" s="796" t="s">
        <v>1493</v>
      </c>
      <c r="D468" s="795" t="str">
        <f t="shared" si="117"/>
        <v>I</v>
      </c>
      <c r="M468" s="796" t="s">
        <v>1494</v>
      </c>
      <c r="N468" s="796" t="str">
        <f t="shared" si="118"/>
        <v>IV</v>
      </c>
      <c r="Q468" s="796" t="s">
        <v>1495</v>
      </c>
      <c r="R468" s="796" t="str">
        <f t="shared" si="119"/>
        <v>I</v>
      </c>
      <c r="S468" s="796" t="s">
        <v>1496</v>
      </c>
      <c r="T468" s="796" t="str">
        <f t="shared" si="120"/>
        <v>III</v>
      </c>
      <c r="AG468" s="796"/>
      <c r="AH468" s="796"/>
      <c r="AI468" s="796"/>
      <c r="AJ468" s="796"/>
      <c r="AK468" s="796"/>
      <c r="AL468" s="796"/>
      <c r="AM468" s="796"/>
      <c r="AN468" s="796"/>
      <c r="AO468" s="796"/>
      <c r="AP468" s="796"/>
      <c r="AQ468" s="796"/>
      <c r="AR468" s="796"/>
      <c r="AS468" s="796"/>
      <c r="AT468" s="796"/>
      <c r="AU468" s="796"/>
      <c r="AV468" s="796"/>
      <c r="AW468" s="796"/>
      <c r="AX468" s="796"/>
      <c r="AY468" s="796"/>
      <c r="AZ468" s="796"/>
      <c r="BA468" s="796"/>
      <c r="BB468" s="796"/>
      <c r="BC468" s="796"/>
      <c r="BD468" s="796"/>
      <c r="BE468" s="796"/>
      <c r="BF468" s="796"/>
      <c r="BG468" s="796"/>
      <c r="BH468" s="796"/>
      <c r="BI468" s="796"/>
      <c r="BJ468" s="796"/>
      <c r="BK468" s="796"/>
      <c r="BL468" s="796"/>
    </row>
    <row r="469" spans="1:64" ht="15" customHeight="1">
      <c r="A469" s="796" t="s">
        <v>1497</v>
      </c>
      <c r="B469" s="795" t="str">
        <f t="shared" si="116"/>
        <v>II</v>
      </c>
      <c r="C469" s="796" t="s">
        <v>1498</v>
      </c>
      <c r="D469" s="795" t="str">
        <f t="shared" si="117"/>
        <v>I</v>
      </c>
      <c r="M469" s="796" t="s">
        <v>1499</v>
      </c>
      <c r="N469" s="796" t="str">
        <f t="shared" si="118"/>
        <v>II</v>
      </c>
      <c r="Q469" s="796" t="s">
        <v>1500</v>
      </c>
      <c r="R469" s="796" t="str">
        <f t="shared" si="119"/>
        <v>I</v>
      </c>
      <c r="S469" s="796" t="s">
        <v>1501</v>
      </c>
      <c r="T469" s="796" t="str">
        <f t="shared" si="120"/>
        <v>V</v>
      </c>
      <c r="AG469" s="796"/>
      <c r="AH469" s="796"/>
      <c r="AI469" s="796"/>
      <c r="AJ469" s="796"/>
      <c r="AK469" s="796"/>
      <c r="AL469" s="796"/>
      <c r="AM469" s="796"/>
      <c r="AN469" s="796"/>
      <c r="AO469" s="796"/>
      <c r="AP469" s="796"/>
      <c r="AQ469" s="796"/>
      <c r="AR469" s="796"/>
      <c r="AS469" s="796"/>
      <c r="AT469" s="796"/>
      <c r="AU469" s="796"/>
      <c r="AV469" s="796"/>
      <c r="AW469" s="796"/>
      <c r="AX469" s="796"/>
      <c r="AY469" s="796"/>
      <c r="AZ469" s="796"/>
      <c r="BA469" s="796"/>
      <c r="BB469" s="796"/>
      <c r="BC469" s="796"/>
      <c r="BD469" s="796"/>
      <c r="BE469" s="796"/>
      <c r="BF469" s="796"/>
      <c r="BG469" s="796"/>
      <c r="BH469" s="796"/>
      <c r="BI469" s="796"/>
      <c r="BJ469" s="796"/>
      <c r="BK469" s="796"/>
      <c r="BL469" s="796"/>
    </row>
    <row r="470" spans="1:64" ht="15" customHeight="1">
      <c r="A470" s="796" t="s">
        <v>1502</v>
      </c>
      <c r="B470" s="795" t="str">
        <f t="shared" si="116"/>
        <v>I</v>
      </c>
      <c r="C470" s="796" t="s">
        <v>1503</v>
      </c>
      <c r="D470" s="795" t="str">
        <f t="shared" si="117"/>
        <v>III</v>
      </c>
      <c r="M470" s="796" t="s">
        <v>1504</v>
      </c>
      <c r="N470" s="796" t="str">
        <f t="shared" si="118"/>
        <v>IV</v>
      </c>
      <c r="Q470" s="796" t="s">
        <v>1505</v>
      </c>
      <c r="R470" s="796" t="str">
        <f t="shared" si="119"/>
        <v>I</v>
      </c>
      <c r="S470" s="796" t="s">
        <v>1506</v>
      </c>
      <c r="T470" s="796" t="str">
        <f t="shared" si="120"/>
        <v>II</v>
      </c>
      <c r="AG470" s="796"/>
      <c r="AH470" s="796"/>
      <c r="AI470" s="796"/>
      <c r="AJ470" s="796"/>
      <c r="AK470" s="796"/>
      <c r="AL470" s="796"/>
      <c r="AM470" s="796"/>
      <c r="AN470" s="796"/>
      <c r="AO470" s="796"/>
      <c r="AP470" s="796"/>
      <c r="AQ470" s="796"/>
      <c r="AR470" s="796"/>
      <c r="AS470" s="796"/>
      <c r="AT470" s="796"/>
      <c r="AU470" s="796"/>
      <c r="AV470" s="796"/>
      <c r="AW470" s="796"/>
      <c r="AX470" s="796"/>
      <c r="AY470" s="796"/>
      <c r="AZ470" s="796"/>
      <c r="BA470" s="796"/>
      <c r="BB470" s="796"/>
      <c r="BC470" s="796"/>
      <c r="BD470" s="796"/>
      <c r="BE470" s="796"/>
      <c r="BF470" s="796"/>
      <c r="BG470" s="796"/>
      <c r="BH470" s="796"/>
      <c r="BI470" s="796"/>
      <c r="BJ470" s="796"/>
      <c r="BK470" s="796"/>
      <c r="BL470" s="796"/>
    </row>
    <row r="471" spans="1:64" ht="15" customHeight="1">
      <c r="A471" s="796" t="s">
        <v>1507</v>
      </c>
      <c r="B471" s="795" t="str">
        <f t="shared" si="116"/>
        <v>IV</v>
      </c>
      <c r="C471" s="796" t="s">
        <v>1508</v>
      </c>
      <c r="D471" s="795" t="str">
        <f t="shared" si="117"/>
        <v>I</v>
      </c>
      <c r="M471" s="796" t="s">
        <v>1509</v>
      </c>
      <c r="N471" s="796" t="str">
        <f t="shared" si="118"/>
        <v>IV</v>
      </c>
      <c r="Q471" s="796" t="s">
        <v>1510</v>
      </c>
      <c r="R471" s="796" t="str">
        <f t="shared" si="119"/>
        <v>V</v>
      </c>
      <c r="S471" s="796" t="s">
        <v>1511</v>
      </c>
      <c r="T471" s="796" t="str">
        <f t="shared" si="120"/>
        <v>II</v>
      </c>
      <c r="AG471" s="796"/>
      <c r="AH471" s="796"/>
      <c r="AI471" s="796"/>
      <c r="AJ471" s="796"/>
      <c r="AK471" s="796"/>
      <c r="AL471" s="796"/>
      <c r="AM471" s="796"/>
      <c r="AN471" s="796"/>
      <c r="AO471" s="796"/>
      <c r="AP471" s="796"/>
      <c r="AQ471" s="796"/>
      <c r="AR471" s="796"/>
      <c r="AS471" s="796"/>
      <c r="AT471" s="796"/>
      <c r="AU471" s="796"/>
      <c r="AV471" s="796"/>
      <c r="AW471" s="796"/>
      <c r="AX471" s="796"/>
      <c r="AY471" s="796"/>
      <c r="AZ471" s="796"/>
      <c r="BA471" s="796"/>
      <c r="BB471" s="796"/>
      <c r="BC471" s="796"/>
      <c r="BD471" s="796"/>
      <c r="BE471" s="796"/>
      <c r="BF471" s="796"/>
      <c r="BG471" s="796"/>
      <c r="BH471" s="796"/>
      <c r="BI471" s="796"/>
      <c r="BJ471" s="796"/>
      <c r="BK471" s="796"/>
      <c r="BL471" s="796"/>
    </row>
    <row r="472" spans="1:64" ht="15" customHeight="1">
      <c r="A472" s="796" t="s">
        <v>1512</v>
      </c>
      <c r="B472" s="795" t="str">
        <f t="shared" si="116"/>
        <v>I</v>
      </c>
      <c r="C472" s="796" t="s">
        <v>1513</v>
      </c>
      <c r="D472" s="795" t="str">
        <f t="shared" si="117"/>
        <v>I</v>
      </c>
      <c r="M472" s="796" t="s">
        <v>1514</v>
      </c>
      <c r="N472" s="796" t="str">
        <f t="shared" si="118"/>
        <v>VI</v>
      </c>
      <c r="Q472" s="796" t="s">
        <v>1515</v>
      </c>
      <c r="R472" s="796" t="str">
        <f t="shared" si="119"/>
        <v>I</v>
      </c>
      <c r="S472" s="796" t="s">
        <v>1516</v>
      </c>
      <c r="T472" s="796" t="str">
        <f t="shared" si="120"/>
        <v>I</v>
      </c>
      <c r="AG472" s="796"/>
      <c r="AH472" s="796"/>
      <c r="AI472" s="796"/>
      <c r="AJ472" s="796"/>
      <c r="AK472" s="796"/>
      <c r="AL472" s="796"/>
      <c r="AM472" s="796"/>
      <c r="AN472" s="796"/>
      <c r="AO472" s="796"/>
      <c r="AP472" s="796"/>
      <c r="AQ472" s="796"/>
      <c r="AR472" s="796"/>
      <c r="AS472" s="796"/>
      <c r="AT472" s="796"/>
      <c r="AU472" s="796"/>
      <c r="AV472" s="796"/>
      <c r="AW472" s="796"/>
      <c r="AX472" s="796"/>
      <c r="AY472" s="796"/>
      <c r="AZ472" s="796"/>
      <c r="BA472" s="796"/>
      <c r="BB472" s="796"/>
      <c r="BC472" s="796"/>
      <c r="BD472" s="796"/>
      <c r="BE472" s="796"/>
      <c r="BF472" s="796"/>
      <c r="BG472" s="796"/>
      <c r="BH472" s="796"/>
      <c r="BI472" s="796"/>
      <c r="BJ472" s="796"/>
      <c r="BK472" s="796"/>
      <c r="BL472" s="796"/>
    </row>
    <row r="473" spans="1:64" ht="15" customHeight="1">
      <c r="A473" s="796" t="s">
        <v>1517</v>
      </c>
      <c r="B473" s="795" t="str">
        <f t="shared" si="116"/>
        <v>II</v>
      </c>
      <c r="C473" s="796" t="s">
        <v>1518</v>
      </c>
      <c r="D473" s="795" t="str">
        <f t="shared" si="117"/>
        <v>II</v>
      </c>
      <c r="M473" s="796" t="s">
        <v>1519</v>
      </c>
      <c r="N473" s="796" t="str">
        <f t="shared" si="118"/>
        <v>I</v>
      </c>
      <c r="Q473" s="796" t="s">
        <v>1520</v>
      </c>
      <c r="R473" s="796" t="str">
        <f t="shared" si="119"/>
        <v>I</v>
      </c>
      <c r="S473" s="796" t="s">
        <v>1521</v>
      </c>
      <c r="T473" s="796" t="str">
        <f t="shared" si="120"/>
        <v>III</v>
      </c>
      <c r="AG473" s="796"/>
      <c r="AH473" s="796"/>
      <c r="AI473" s="796"/>
      <c r="AJ473" s="796"/>
      <c r="AK473" s="796"/>
      <c r="AL473" s="796"/>
      <c r="AM473" s="796"/>
      <c r="AN473" s="796"/>
      <c r="AO473" s="796"/>
      <c r="AP473" s="796"/>
      <c r="AQ473" s="796"/>
      <c r="AR473" s="796"/>
      <c r="AS473" s="796"/>
      <c r="AT473" s="796"/>
      <c r="AU473" s="796"/>
      <c r="AV473" s="796"/>
      <c r="AW473" s="796"/>
      <c r="AX473" s="796"/>
      <c r="AY473" s="796"/>
      <c r="AZ473" s="796"/>
      <c r="BA473" s="796"/>
      <c r="BB473" s="796"/>
      <c r="BC473" s="796"/>
      <c r="BD473" s="796"/>
      <c r="BE473" s="796"/>
      <c r="BF473" s="796"/>
      <c r="BG473" s="796"/>
      <c r="BH473" s="796"/>
      <c r="BI473" s="796"/>
      <c r="BJ473" s="796"/>
      <c r="BK473" s="796"/>
      <c r="BL473" s="796"/>
    </row>
    <row r="474" spans="1:64" ht="15" customHeight="1">
      <c r="A474" s="796" t="s">
        <v>1522</v>
      </c>
      <c r="B474" s="795" t="str">
        <f t="shared" si="116"/>
        <v>I</v>
      </c>
      <c r="C474" s="796" t="s">
        <v>1523</v>
      </c>
      <c r="D474" s="795" t="str">
        <f t="shared" si="117"/>
        <v>I</v>
      </c>
      <c r="M474" s="796" t="s">
        <v>1524</v>
      </c>
      <c r="N474" s="796" t="str">
        <f t="shared" si="118"/>
        <v>IV</v>
      </c>
      <c r="Q474" s="796" t="s">
        <v>1525</v>
      </c>
      <c r="R474" s="796" t="str">
        <f t="shared" si="119"/>
        <v>I</v>
      </c>
      <c r="S474" s="796" t="s">
        <v>1526</v>
      </c>
      <c r="T474" s="796" t="str">
        <f t="shared" si="120"/>
        <v>III</v>
      </c>
      <c r="AG474" s="796"/>
      <c r="AH474" s="796"/>
      <c r="AI474" s="796"/>
      <c r="AJ474" s="796"/>
      <c r="AK474" s="796"/>
      <c r="AL474" s="796"/>
      <c r="AM474" s="796"/>
      <c r="AN474" s="796"/>
      <c r="AO474" s="796"/>
      <c r="AP474" s="796"/>
      <c r="AQ474" s="796"/>
      <c r="AR474" s="796"/>
      <c r="AS474" s="796"/>
      <c r="AT474" s="796"/>
      <c r="AU474" s="796"/>
      <c r="AV474" s="796"/>
      <c r="AW474" s="796"/>
      <c r="AX474" s="796"/>
      <c r="AY474" s="796"/>
      <c r="AZ474" s="796"/>
      <c r="BA474" s="796"/>
      <c r="BB474" s="796"/>
      <c r="BC474" s="796"/>
      <c r="BD474" s="796"/>
      <c r="BE474" s="796"/>
      <c r="BF474" s="796"/>
      <c r="BG474" s="796"/>
      <c r="BH474" s="796"/>
      <c r="BI474" s="796"/>
      <c r="BJ474" s="796"/>
      <c r="BK474" s="796"/>
      <c r="BL474" s="796"/>
    </row>
    <row r="475" spans="1:64" ht="15" customHeight="1">
      <c r="A475" s="796" t="s">
        <v>1527</v>
      </c>
      <c r="B475" s="795" t="str">
        <f t="shared" si="116"/>
        <v>II</v>
      </c>
      <c r="C475" s="796" t="s">
        <v>1528</v>
      </c>
      <c r="D475" s="795" t="str">
        <f t="shared" si="117"/>
        <v>IV</v>
      </c>
      <c r="M475" s="796" t="s">
        <v>1529</v>
      </c>
      <c r="N475" s="796" t="str">
        <f t="shared" si="118"/>
        <v>VI</v>
      </c>
      <c r="Q475" s="796" t="s">
        <v>1530</v>
      </c>
      <c r="R475" s="796" t="str">
        <f t="shared" si="119"/>
        <v>II</v>
      </c>
      <c r="S475" s="796" t="s">
        <v>1531</v>
      </c>
      <c r="T475" s="796" t="str">
        <f t="shared" si="120"/>
        <v>III</v>
      </c>
      <c r="AG475" s="796"/>
      <c r="AH475" s="796"/>
      <c r="AI475" s="796"/>
      <c r="AJ475" s="796"/>
      <c r="AK475" s="796"/>
      <c r="AL475" s="796"/>
      <c r="AM475" s="796"/>
      <c r="AN475" s="796"/>
      <c r="AO475" s="796"/>
      <c r="AP475" s="796"/>
      <c r="AQ475" s="796"/>
      <c r="AR475" s="796"/>
      <c r="AS475" s="796"/>
      <c r="AT475" s="796"/>
      <c r="AU475" s="796"/>
      <c r="AV475" s="796"/>
      <c r="AW475" s="796"/>
      <c r="AX475" s="796"/>
      <c r="AY475" s="796"/>
      <c r="AZ475" s="796"/>
      <c r="BA475" s="796"/>
      <c r="BB475" s="796"/>
      <c r="BC475" s="796"/>
      <c r="BD475" s="796"/>
      <c r="BE475" s="796"/>
      <c r="BF475" s="796"/>
      <c r="BG475" s="796"/>
      <c r="BH475" s="796"/>
      <c r="BI475" s="796"/>
      <c r="BJ475" s="796"/>
      <c r="BK475" s="796"/>
      <c r="BL475" s="796"/>
    </row>
    <row r="476" spans="1:64" ht="15" customHeight="1">
      <c r="A476" s="796" t="s">
        <v>1532</v>
      </c>
      <c r="B476" s="795" t="str">
        <f t="shared" si="116"/>
        <v>III</v>
      </c>
      <c r="C476" s="796" t="s">
        <v>1533</v>
      </c>
      <c r="D476" s="795" t="str">
        <f t="shared" si="117"/>
        <v>I</v>
      </c>
      <c r="M476" s="796" t="s">
        <v>1534</v>
      </c>
      <c r="N476" s="796" t="str">
        <f t="shared" si="118"/>
        <v>I</v>
      </c>
      <c r="Q476" s="796" t="s">
        <v>1535</v>
      </c>
      <c r="R476" s="796" t="str">
        <f t="shared" si="119"/>
        <v>V</v>
      </c>
      <c r="S476" s="796" t="s">
        <v>1536</v>
      </c>
      <c r="T476" s="796" t="str">
        <f t="shared" si="120"/>
        <v>II</v>
      </c>
      <c r="AG476" s="796"/>
      <c r="AH476" s="796"/>
      <c r="AI476" s="796"/>
      <c r="AJ476" s="796"/>
      <c r="AK476" s="796"/>
      <c r="AL476" s="796"/>
      <c r="AM476" s="796"/>
      <c r="AN476" s="796"/>
      <c r="AO476" s="796"/>
      <c r="AP476" s="796"/>
      <c r="AQ476" s="796"/>
      <c r="AR476" s="796"/>
      <c r="AS476" s="796"/>
      <c r="AT476" s="796"/>
      <c r="AU476" s="796"/>
      <c r="AV476" s="796"/>
      <c r="AW476" s="796"/>
      <c r="AX476" s="796"/>
      <c r="AY476" s="796"/>
      <c r="AZ476" s="796"/>
      <c r="BA476" s="796"/>
      <c r="BB476" s="796"/>
      <c r="BC476" s="796"/>
      <c r="BD476" s="796"/>
      <c r="BE476" s="796"/>
      <c r="BF476" s="796"/>
      <c r="BG476" s="796"/>
      <c r="BH476" s="796"/>
      <c r="BI476" s="796"/>
      <c r="BJ476" s="796"/>
      <c r="BK476" s="796"/>
      <c r="BL476" s="796"/>
    </row>
    <row r="477" spans="1:64" ht="15" customHeight="1">
      <c r="A477" s="796" t="s">
        <v>1537</v>
      </c>
      <c r="B477" s="795" t="str">
        <f t="shared" si="116"/>
        <v>II</v>
      </c>
      <c r="C477" s="796" t="s">
        <v>1538</v>
      </c>
      <c r="D477" s="795" t="str">
        <f t="shared" si="117"/>
        <v>I</v>
      </c>
      <c r="M477" s="796" t="s">
        <v>1539</v>
      </c>
      <c r="N477" s="796" t="str">
        <f t="shared" si="118"/>
        <v>IV</v>
      </c>
      <c r="Q477" s="796" t="s">
        <v>1540</v>
      </c>
      <c r="R477" s="796" t="str">
        <f t="shared" si="119"/>
        <v>II</v>
      </c>
      <c r="S477" s="796" t="s">
        <v>1541</v>
      </c>
      <c r="T477" s="796" t="str">
        <f t="shared" si="120"/>
        <v>IV</v>
      </c>
      <c r="AG477" s="796"/>
      <c r="AH477" s="796"/>
      <c r="AI477" s="796"/>
      <c r="AJ477" s="796"/>
      <c r="AK477" s="796"/>
      <c r="AL477" s="796"/>
      <c r="AM477" s="796"/>
      <c r="AN477" s="796"/>
      <c r="AO477" s="796"/>
      <c r="AP477" s="796"/>
      <c r="AQ477" s="796"/>
      <c r="AR477" s="796"/>
      <c r="AS477" s="796"/>
      <c r="AT477" s="796"/>
      <c r="AU477" s="796"/>
      <c r="AV477" s="796"/>
      <c r="AW477" s="796"/>
      <c r="AX477" s="796"/>
      <c r="AY477" s="796"/>
      <c r="AZ477" s="796"/>
      <c r="BA477" s="796"/>
      <c r="BB477" s="796"/>
      <c r="BC477" s="796"/>
      <c r="BD477" s="796"/>
      <c r="BE477" s="796"/>
      <c r="BF477" s="796"/>
      <c r="BG477" s="796"/>
      <c r="BH477" s="796"/>
      <c r="BI477" s="796"/>
      <c r="BJ477" s="796"/>
      <c r="BK477" s="796"/>
      <c r="BL477" s="796"/>
    </row>
    <row r="478" spans="1:64" ht="15" customHeight="1">
      <c r="A478" s="796" t="s">
        <v>1542</v>
      </c>
      <c r="B478" s="795" t="str">
        <f t="shared" si="116"/>
        <v>II</v>
      </c>
      <c r="C478" s="796" t="s">
        <v>1543</v>
      </c>
      <c r="D478" s="795" t="str">
        <f t="shared" si="117"/>
        <v>VII</v>
      </c>
      <c r="M478" s="796" t="s">
        <v>1544</v>
      </c>
      <c r="N478" s="796" t="str">
        <f t="shared" si="118"/>
        <v>II</v>
      </c>
      <c r="Q478" s="796" t="s">
        <v>1545</v>
      </c>
      <c r="R478" s="796" t="str">
        <f t="shared" si="119"/>
        <v>II</v>
      </c>
      <c r="S478" s="796" t="s">
        <v>1546</v>
      </c>
      <c r="T478" s="796" t="str">
        <f t="shared" si="120"/>
        <v>II</v>
      </c>
      <c r="AG478" s="796"/>
      <c r="AH478" s="796"/>
      <c r="AI478" s="796"/>
      <c r="AJ478" s="796"/>
      <c r="AK478" s="796"/>
      <c r="AL478" s="796"/>
      <c r="AM478" s="796"/>
      <c r="AN478" s="796"/>
      <c r="AO478" s="796"/>
      <c r="AP478" s="796"/>
      <c r="AQ478" s="796"/>
      <c r="AR478" s="796"/>
      <c r="AS478" s="796"/>
      <c r="AT478" s="796"/>
      <c r="AU478" s="796"/>
      <c r="AV478" s="796"/>
      <c r="AW478" s="796"/>
      <c r="AX478" s="796"/>
      <c r="AY478" s="796"/>
      <c r="AZ478" s="796"/>
      <c r="BA478" s="796"/>
      <c r="BB478" s="796"/>
      <c r="BC478" s="796"/>
      <c r="BD478" s="796"/>
      <c r="BE478" s="796"/>
      <c r="BF478" s="796"/>
      <c r="BG478" s="796"/>
      <c r="BH478" s="796"/>
      <c r="BI478" s="796"/>
      <c r="BJ478" s="796"/>
      <c r="BK478" s="796"/>
      <c r="BL478" s="796"/>
    </row>
    <row r="479" spans="1:64" ht="15" customHeight="1">
      <c r="A479" s="796" t="s">
        <v>1547</v>
      </c>
      <c r="B479" s="795" t="str">
        <f t="shared" si="116"/>
        <v>III</v>
      </c>
      <c r="C479" s="796" t="s">
        <v>1548</v>
      </c>
      <c r="D479" s="795" t="str">
        <f t="shared" si="117"/>
        <v>I</v>
      </c>
      <c r="M479" s="796" t="s">
        <v>1549</v>
      </c>
      <c r="N479" s="796" t="str">
        <f t="shared" si="118"/>
        <v>VI</v>
      </c>
      <c r="Q479" s="796" t="s">
        <v>1550</v>
      </c>
      <c r="R479" s="796" t="str">
        <f t="shared" si="119"/>
        <v>II</v>
      </c>
      <c r="S479" s="796" t="s">
        <v>1551</v>
      </c>
      <c r="T479" s="796" t="str">
        <f t="shared" si="120"/>
        <v>II</v>
      </c>
      <c r="AG479" s="796"/>
      <c r="AH479" s="796"/>
      <c r="AI479" s="796"/>
      <c r="AJ479" s="796"/>
      <c r="AK479" s="796"/>
      <c r="AL479" s="796"/>
      <c r="AM479" s="796"/>
      <c r="AN479" s="796"/>
      <c r="AO479" s="796"/>
      <c r="AP479" s="796"/>
      <c r="AQ479" s="796"/>
      <c r="AR479" s="796"/>
      <c r="AS479" s="796"/>
      <c r="AT479" s="796"/>
      <c r="AU479" s="796"/>
      <c r="AV479" s="796"/>
      <c r="AW479" s="796"/>
      <c r="AX479" s="796"/>
      <c r="AY479" s="796"/>
      <c r="AZ479" s="796"/>
      <c r="BA479" s="796"/>
      <c r="BB479" s="796"/>
      <c r="BC479" s="796"/>
      <c r="BD479" s="796"/>
      <c r="BE479" s="796"/>
      <c r="BF479" s="796"/>
      <c r="BG479" s="796"/>
      <c r="BH479" s="796"/>
      <c r="BI479" s="796"/>
      <c r="BJ479" s="796"/>
      <c r="BK479" s="796"/>
      <c r="BL479" s="796"/>
    </row>
    <row r="480" spans="1:64" ht="15" customHeight="1">
      <c r="A480" s="796" t="s">
        <v>1552</v>
      </c>
      <c r="B480" s="795" t="str">
        <f t="shared" si="116"/>
        <v>I</v>
      </c>
      <c r="C480" s="796" t="s">
        <v>1553</v>
      </c>
      <c r="D480" s="795" t="str">
        <f t="shared" si="117"/>
        <v>I</v>
      </c>
      <c r="M480" s="796" t="s">
        <v>1554</v>
      </c>
      <c r="N480" s="796" t="str">
        <f t="shared" si="118"/>
        <v>III</v>
      </c>
      <c r="Q480" s="796" t="s">
        <v>1555</v>
      </c>
      <c r="R480" s="796" t="str">
        <f t="shared" si="119"/>
        <v>II</v>
      </c>
      <c r="S480" s="796" t="s">
        <v>1556</v>
      </c>
      <c r="T480" s="796" t="str">
        <f t="shared" si="120"/>
        <v>I</v>
      </c>
      <c r="AG480" s="796"/>
      <c r="AH480" s="796"/>
      <c r="AI480" s="796"/>
      <c r="AJ480" s="796"/>
      <c r="AK480" s="796"/>
      <c r="AL480" s="796"/>
      <c r="AM480" s="796"/>
      <c r="AN480" s="796"/>
      <c r="AO480" s="796"/>
      <c r="AP480" s="796"/>
      <c r="AQ480" s="796"/>
      <c r="AR480" s="796"/>
      <c r="AS480" s="796"/>
      <c r="AT480" s="796"/>
      <c r="AU480" s="796"/>
      <c r="AV480" s="796"/>
      <c r="AW480" s="796"/>
      <c r="AX480" s="796"/>
      <c r="AY480" s="796"/>
      <c r="AZ480" s="796"/>
      <c r="BA480" s="796"/>
      <c r="BB480" s="796"/>
      <c r="BC480" s="796"/>
      <c r="BD480" s="796"/>
      <c r="BE480" s="796"/>
      <c r="BF480" s="796"/>
      <c r="BG480" s="796"/>
      <c r="BH480" s="796"/>
      <c r="BI480" s="796"/>
      <c r="BJ480" s="796"/>
      <c r="BK480" s="796"/>
      <c r="BL480" s="796"/>
    </row>
    <row r="481" spans="1:64" ht="15" customHeight="1">
      <c r="A481" s="796" t="s">
        <v>1557</v>
      </c>
      <c r="B481" s="795" t="str">
        <f t="shared" si="116"/>
        <v>IV</v>
      </c>
      <c r="C481" s="796" t="s">
        <v>1558</v>
      </c>
      <c r="D481" s="795" t="str">
        <f t="shared" si="117"/>
        <v>I</v>
      </c>
      <c r="M481" s="796" t="s">
        <v>1559</v>
      </c>
      <c r="N481" s="796" t="str">
        <f t="shared" si="118"/>
        <v>II</v>
      </c>
      <c r="Q481" s="796" t="s">
        <v>1560</v>
      </c>
      <c r="R481" s="796" t="str">
        <f t="shared" si="119"/>
        <v>II</v>
      </c>
      <c r="S481" s="796" t="s">
        <v>1561</v>
      </c>
      <c r="T481" s="796" t="str">
        <f t="shared" si="120"/>
        <v>I</v>
      </c>
      <c r="AG481" s="796"/>
      <c r="AH481" s="796"/>
      <c r="AI481" s="796"/>
      <c r="AJ481" s="796"/>
      <c r="AK481" s="796"/>
      <c r="AL481" s="796"/>
      <c r="AM481" s="796"/>
      <c r="AN481" s="796"/>
      <c r="AO481" s="796"/>
      <c r="AP481" s="796"/>
      <c r="AQ481" s="796"/>
      <c r="AR481" s="796"/>
      <c r="AS481" s="796"/>
      <c r="AT481" s="796"/>
      <c r="AU481" s="796"/>
      <c r="AV481" s="796"/>
      <c r="AW481" s="796"/>
      <c r="AX481" s="796"/>
      <c r="AY481" s="796"/>
      <c r="AZ481" s="796"/>
      <c r="BA481" s="796"/>
      <c r="BB481" s="796"/>
      <c r="BC481" s="796"/>
      <c r="BD481" s="796"/>
      <c r="BE481" s="796"/>
      <c r="BF481" s="796"/>
      <c r="BG481" s="796"/>
      <c r="BH481" s="796"/>
      <c r="BI481" s="796"/>
      <c r="BJ481" s="796"/>
      <c r="BK481" s="796"/>
      <c r="BL481" s="796"/>
    </row>
    <row r="482" spans="1:64" ht="15" customHeight="1">
      <c r="A482" s="796" t="s">
        <v>1562</v>
      </c>
      <c r="B482" s="795" t="str">
        <f t="shared" si="116"/>
        <v>III</v>
      </c>
      <c r="C482" s="796" t="s">
        <v>1563</v>
      </c>
      <c r="D482" s="795" t="str">
        <f t="shared" si="117"/>
        <v>I</v>
      </c>
      <c r="M482" s="796" t="s">
        <v>1564</v>
      </c>
      <c r="N482" s="796" t="str">
        <f t="shared" si="118"/>
        <v>IV</v>
      </c>
      <c r="Q482" s="796" t="s">
        <v>1565</v>
      </c>
      <c r="R482" s="796" t="str">
        <f t="shared" si="119"/>
        <v>I</v>
      </c>
      <c r="S482" s="796" t="s">
        <v>1566</v>
      </c>
      <c r="T482" s="796" t="str">
        <f t="shared" si="120"/>
        <v>III</v>
      </c>
      <c r="AG482" s="796"/>
      <c r="AH482" s="796"/>
      <c r="AI482" s="796"/>
      <c r="AJ482" s="796"/>
      <c r="AK482" s="796"/>
      <c r="AL482" s="796"/>
      <c r="AM482" s="796"/>
      <c r="AN482" s="796"/>
      <c r="AO482" s="796"/>
      <c r="AP482" s="796"/>
      <c r="AQ482" s="796"/>
      <c r="AR482" s="796"/>
      <c r="AS482" s="796"/>
      <c r="AT482" s="796"/>
      <c r="AU482" s="796"/>
      <c r="AV482" s="796"/>
      <c r="AW482" s="796"/>
      <c r="AX482" s="796"/>
      <c r="AY482" s="796"/>
      <c r="AZ482" s="796"/>
      <c r="BA482" s="796"/>
      <c r="BB482" s="796"/>
      <c r="BC482" s="796"/>
      <c r="BD482" s="796"/>
      <c r="BE482" s="796"/>
      <c r="BF482" s="796"/>
      <c r="BG482" s="796"/>
      <c r="BH482" s="796"/>
      <c r="BI482" s="796"/>
      <c r="BJ482" s="796"/>
      <c r="BK482" s="796"/>
      <c r="BL482" s="796"/>
    </row>
    <row r="483" spans="1:64" ht="15" customHeight="1">
      <c r="A483" s="796" t="s">
        <v>1567</v>
      </c>
      <c r="B483" s="795" t="str">
        <f t="shared" si="116"/>
        <v>V</v>
      </c>
      <c r="C483" s="796" t="s">
        <v>1568</v>
      </c>
      <c r="D483" s="795" t="str">
        <f t="shared" si="117"/>
        <v>II</v>
      </c>
      <c r="M483" s="796" t="s">
        <v>1569</v>
      </c>
      <c r="N483" s="796" t="str">
        <f t="shared" si="118"/>
        <v>IV</v>
      </c>
      <c r="Q483" s="796" t="s">
        <v>1570</v>
      </c>
      <c r="R483" s="796" t="str">
        <f t="shared" si="119"/>
        <v>II</v>
      </c>
      <c r="S483" s="796" t="s">
        <v>1571</v>
      </c>
      <c r="T483" s="796" t="str">
        <f t="shared" si="120"/>
        <v>VI</v>
      </c>
      <c r="AG483" s="796"/>
      <c r="AH483" s="796"/>
      <c r="AI483" s="796"/>
      <c r="AJ483" s="796"/>
      <c r="AK483" s="796"/>
      <c r="AL483" s="796"/>
      <c r="AM483" s="796"/>
      <c r="AN483" s="796"/>
      <c r="AO483" s="796"/>
      <c r="AP483" s="796"/>
      <c r="AQ483" s="796"/>
      <c r="AR483" s="796"/>
      <c r="AS483" s="796"/>
      <c r="AT483" s="796"/>
      <c r="AU483" s="796"/>
      <c r="AV483" s="796"/>
      <c r="AW483" s="796"/>
      <c r="AX483" s="796"/>
      <c r="AY483" s="796"/>
      <c r="AZ483" s="796"/>
      <c r="BA483" s="796"/>
      <c r="BB483" s="796"/>
      <c r="BC483" s="796"/>
      <c r="BD483" s="796"/>
      <c r="BE483" s="796"/>
      <c r="BF483" s="796"/>
      <c r="BG483" s="796"/>
      <c r="BH483" s="796"/>
      <c r="BI483" s="796"/>
      <c r="BJ483" s="796"/>
      <c r="BK483" s="796"/>
      <c r="BL483" s="796"/>
    </row>
    <row r="484" spans="1:64" ht="15" customHeight="1">
      <c r="A484" s="796" t="s">
        <v>1572</v>
      </c>
      <c r="B484" s="795" t="str">
        <f t="shared" si="116"/>
        <v>VI</v>
      </c>
      <c r="C484" s="796" t="s">
        <v>1573</v>
      </c>
      <c r="D484" s="795" t="str">
        <f t="shared" si="117"/>
        <v>II</v>
      </c>
      <c r="M484" s="796" t="s">
        <v>1574</v>
      </c>
      <c r="N484" s="796" t="str">
        <f t="shared" ref="N484:N515" si="121">VLOOKUP(M484,Hessen,IF(Jahreszahl&lt;2020,3,2))</f>
        <v>IV</v>
      </c>
      <c r="Q484" s="796" t="s">
        <v>1575</v>
      </c>
      <c r="R484" s="796" t="str">
        <f t="shared" si="119"/>
        <v>IV</v>
      </c>
      <c r="S484" s="796" t="s">
        <v>1576</v>
      </c>
      <c r="T484" s="796" t="str">
        <f t="shared" si="120"/>
        <v>IV</v>
      </c>
      <c r="AG484" s="796"/>
      <c r="AH484" s="796"/>
      <c r="AI484" s="796"/>
      <c r="AJ484" s="796"/>
      <c r="AK484" s="796"/>
      <c r="AL484" s="796"/>
      <c r="AM484" s="796"/>
      <c r="AN484" s="796"/>
      <c r="AO484" s="796"/>
      <c r="AP484" s="796"/>
      <c r="AQ484" s="796"/>
      <c r="AR484" s="796"/>
      <c r="AS484" s="796"/>
      <c r="AT484" s="796"/>
      <c r="AU484" s="796"/>
      <c r="AV484" s="796"/>
      <c r="AW484" s="796"/>
      <c r="AX484" s="796"/>
      <c r="AY484" s="796"/>
      <c r="AZ484" s="796"/>
      <c r="BA484" s="796"/>
      <c r="BB484" s="796"/>
      <c r="BC484" s="796"/>
      <c r="BD484" s="796"/>
      <c r="BE484" s="796"/>
      <c r="BF484" s="796"/>
      <c r="BG484" s="796"/>
      <c r="BH484" s="796"/>
      <c r="BI484" s="796"/>
      <c r="BJ484" s="796"/>
      <c r="BK484" s="796"/>
      <c r="BL484" s="796"/>
    </row>
    <row r="485" spans="1:64" ht="15" customHeight="1">
      <c r="A485" s="796" t="s">
        <v>1577</v>
      </c>
      <c r="B485" s="795" t="str">
        <f t="shared" si="116"/>
        <v>IV</v>
      </c>
      <c r="C485" s="796" t="s">
        <v>1578</v>
      </c>
      <c r="D485" s="795" t="str">
        <f t="shared" si="117"/>
        <v>II</v>
      </c>
      <c r="M485" s="796" t="s">
        <v>1579</v>
      </c>
      <c r="N485" s="796" t="str">
        <f t="shared" si="121"/>
        <v>V</v>
      </c>
      <c r="Q485" s="796" t="s">
        <v>1580</v>
      </c>
      <c r="R485" s="796" t="str">
        <f t="shared" si="119"/>
        <v>III</v>
      </c>
      <c r="S485" s="796" t="s">
        <v>1581</v>
      </c>
      <c r="T485" s="796" t="str">
        <f t="shared" si="120"/>
        <v>III</v>
      </c>
      <c r="AG485" s="796"/>
      <c r="AH485" s="796"/>
      <c r="AI485" s="796"/>
      <c r="AJ485" s="796"/>
      <c r="AK485" s="796"/>
      <c r="AL485" s="796"/>
      <c r="AM485" s="796"/>
      <c r="AN485" s="796"/>
      <c r="AO485" s="796"/>
      <c r="AP485" s="796"/>
      <c r="AQ485" s="796"/>
      <c r="AR485" s="796"/>
      <c r="AS485" s="796"/>
      <c r="AT485" s="796"/>
      <c r="AU485" s="796"/>
      <c r="AV485" s="796"/>
      <c r="AW485" s="796"/>
      <c r="AX485" s="796"/>
      <c r="AY485" s="796"/>
      <c r="AZ485" s="796"/>
      <c r="BA485" s="796"/>
      <c r="BB485" s="796"/>
      <c r="BC485" s="796"/>
      <c r="BD485" s="796"/>
      <c r="BE485" s="796"/>
      <c r="BF485" s="796"/>
      <c r="BG485" s="796"/>
      <c r="BH485" s="796"/>
      <c r="BI485" s="796"/>
      <c r="BJ485" s="796"/>
      <c r="BK485" s="796"/>
      <c r="BL485" s="796"/>
    </row>
    <row r="486" spans="1:64" ht="15" customHeight="1">
      <c r="A486" s="796" t="s">
        <v>1582</v>
      </c>
      <c r="B486" s="795" t="str">
        <f t="shared" si="116"/>
        <v>VI</v>
      </c>
      <c r="C486" s="796" t="s">
        <v>1583</v>
      </c>
      <c r="D486" s="795" t="str">
        <f t="shared" si="117"/>
        <v>I</v>
      </c>
      <c r="M486" s="796" t="s">
        <v>1584</v>
      </c>
      <c r="N486" s="796" t="str">
        <f t="shared" si="121"/>
        <v>III</v>
      </c>
      <c r="Q486" s="796" t="s">
        <v>1585</v>
      </c>
      <c r="R486" s="796" t="str">
        <f t="shared" si="119"/>
        <v>II</v>
      </c>
      <c r="S486" s="796" t="s">
        <v>1586</v>
      </c>
      <c r="T486" s="796" t="str">
        <f t="shared" si="120"/>
        <v>II</v>
      </c>
      <c r="AG486" s="796"/>
      <c r="AH486" s="796"/>
      <c r="AI486" s="796"/>
      <c r="AJ486" s="796"/>
      <c r="AK486" s="796"/>
      <c r="AL486" s="796"/>
      <c r="AM486" s="796"/>
      <c r="AN486" s="796"/>
      <c r="AO486" s="796"/>
      <c r="AP486" s="796"/>
      <c r="AQ486" s="796"/>
      <c r="AR486" s="796"/>
      <c r="AS486" s="796"/>
      <c r="AT486" s="796"/>
      <c r="AU486" s="796"/>
      <c r="AV486" s="796"/>
      <c r="AW486" s="796"/>
      <c r="AX486" s="796"/>
      <c r="AY486" s="796"/>
      <c r="AZ486" s="796"/>
      <c r="BA486" s="796"/>
      <c r="BB486" s="796"/>
      <c r="BC486" s="796"/>
      <c r="BD486" s="796"/>
      <c r="BE486" s="796"/>
      <c r="BF486" s="796"/>
      <c r="BG486" s="796"/>
      <c r="BH486" s="796"/>
      <c r="BI486" s="796"/>
      <c r="BJ486" s="796"/>
      <c r="BK486" s="796"/>
      <c r="BL486" s="796"/>
    </row>
    <row r="487" spans="1:64" ht="15" customHeight="1">
      <c r="A487" s="796" t="s">
        <v>1587</v>
      </c>
      <c r="B487" s="795" t="str">
        <f t="shared" si="116"/>
        <v>III</v>
      </c>
      <c r="C487" s="796" t="s">
        <v>1588</v>
      </c>
      <c r="D487" s="795" t="str">
        <f t="shared" si="117"/>
        <v>I</v>
      </c>
      <c r="M487" s="796" t="s">
        <v>1589</v>
      </c>
      <c r="N487" s="796" t="str">
        <f t="shared" si="121"/>
        <v>IV</v>
      </c>
      <c r="Q487" s="796" t="s">
        <v>1590</v>
      </c>
      <c r="R487" s="796" t="str">
        <f t="shared" si="119"/>
        <v>I</v>
      </c>
      <c r="S487" s="796" t="s">
        <v>1591</v>
      </c>
      <c r="T487" s="796" t="str">
        <f t="shared" si="120"/>
        <v>IV</v>
      </c>
      <c r="AG487" s="796"/>
      <c r="AH487" s="796"/>
      <c r="AI487" s="796"/>
      <c r="AJ487" s="796"/>
      <c r="AK487" s="796"/>
      <c r="AL487" s="796"/>
      <c r="AM487" s="796"/>
      <c r="AN487" s="796"/>
      <c r="AO487" s="796"/>
      <c r="AP487" s="796"/>
      <c r="AQ487" s="796"/>
      <c r="AR487" s="796"/>
      <c r="AS487" s="796"/>
      <c r="AT487" s="796"/>
      <c r="AU487" s="796"/>
      <c r="AV487" s="796"/>
      <c r="AW487" s="796"/>
      <c r="AX487" s="796"/>
      <c r="AY487" s="796"/>
      <c r="AZ487" s="796"/>
      <c r="BA487" s="796"/>
      <c r="BB487" s="796"/>
      <c r="BC487" s="796"/>
      <c r="BD487" s="796"/>
      <c r="BE487" s="796"/>
      <c r="BF487" s="796"/>
      <c r="BG487" s="796"/>
      <c r="BH487" s="796"/>
      <c r="BI487" s="796"/>
      <c r="BJ487" s="796"/>
      <c r="BK487" s="796"/>
      <c r="BL487" s="796"/>
    </row>
    <row r="488" spans="1:64" ht="15" customHeight="1">
      <c r="A488" s="796" t="s">
        <v>1592</v>
      </c>
      <c r="B488" s="795" t="str">
        <f t="shared" si="116"/>
        <v>II</v>
      </c>
      <c r="C488" s="796" t="s">
        <v>1593</v>
      </c>
      <c r="D488" s="795" t="str">
        <f t="shared" si="117"/>
        <v>III</v>
      </c>
      <c r="M488" s="796" t="s">
        <v>1594</v>
      </c>
      <c r="N488" s="796" t="str">
        <f t="shared" si="121"/>
        <v>I</v>
      </c>
      <c r="Q488" s="796" t="s">
        <v>1595</v>
      </c>
      <c r="R488" s="796" t="str">
        <f t="shared" si="119"/>
        <v>I</v>
      </c>
      <c r="S488" s="796" t="s">
        <v>1596</v>
      </c>
      <c r="T488" s="796" t="str">
        <f t="shared" si="120"/>
        <v>I</v>
      </c>
      <c r="AG488" s="796"/>
      <c r="AH488" s="796"/>
      <c r="AI488" s="796"/>
      <c r="AJ488" s="796"/>
      <c r="AK488" s="796"/>
      <c r="AL488" s="796"/>
      <c r="AM488" s="796"/>
      <c r="AN488" s="796"/>
      <c r="AO488" s="796"/>
      <c r="AP488" s="796"/>
      <c r="AQ488" s="796"/>
      <c r="AR488" s="796"/>
      <c r="AS488" s="796"/>
      <c r="AT488" s="796"/>
      <c r="AU488" s="796"/>
      <c r="AV488" s="796"/>
      <c r="AW488" s="796"/>
      <c r="AX488" s="796"/>
      <c r="AY488" s="796"/>
      <c r="AZ488" s="796"/>
      <c r="BA488" s="796"/>
      <c r="BB488" s="796"/>
      <c r="BC488" s="796"/>
      <c r="BD488" s="796"/>
      <c r="BE488" s="796"/>
      <c r="BF488" s="796"/>
      <c r="BG488" s="796"/>
      <c r="BH488" s="796"/>
      <c r="BI488" s="796"/>
      <c r="BJ488" s="796"/>
      <c r="BK488" s="796"/>
      <c r="BL488" s="796"/>
    </row>
    <row r="489" spans="1:64" ht="15" customHeight="1">
      <c r="A489" s="796" t="s">
        <v>1597</v>
      </c>
      <c r="B489" s="795" t="str">
        <f t="shared" si="116"/>
        <v>II</v>
      </c>
      <c r="C489" s="796" t="s">
        <v>1598</v>
      </c>
      <c r="D489" s="795" t="str">
        <f t="shared" si="117"/>
        <v>I</v>
      </c>
      <c r="M489" s="796" t="s">
        <v>1599</v>
      </c>
      <c r="N489" s="796" t="str">
        <f t="shared" si="121"/>
        <v>V</v>
      </c>
      <c r="Q489" s="796" t="s">
        <v>1600</v>
      </c>
      <c r="R489" s="796" t="str">
        <f t="shared" si="119"/>
        <v>II</v>
      </c>
      <c r="S489" s="796" t="s">
        <v>1601</v>
      </c>
      <c r="T489" s="796" t="str">
        <f t="shared" si="120"/>
        <v>II</v>
      </c>
      <c r="AG489" s="796"/>
      <c r="AH489" s="796"/>
      <c r="AI489" s="796"/>
      <c r="AJ489" s="796"/>
      <c r="AK489" s="796"/>
      <c r="AL489" s="796"/>
      <c r="AM489" s="796"/>
      <c r="AN489" s="796"/>
      <c r="AO489" s="796"/>
      <c r="AP489" s="796"/>
      <c r="AQ489" s="796"/>
      <c r="AR489" s="796"/>
      <c r="AS489" s="796"/>
      <c r="AT489" s="796"/>
      <c r="AU489" s="796"/>
      <c r="AV489" s="796"/>
      <c r="AW489" s="796"/>
      <c r="AX489" s="796"/>
      <c r="AY489" s="796"/>
      <c r="AZ489" s="796"/>
      <c r="BA489" s="796"/>
      <c r="BB489" s="796"/>
      <c r="BC489" s="796"/>
      <c r="BD489" s="796"/>
      <c r="BE489" s="796"/>
      <c r="BF489" s="796"/>
      <c r="BG489" s="796"/>
      <c r="BH489" s="796"/>
      <c r="BI489" s="796"/>
      <c r="BJ489" s="796"/>
      <c r="BK489" s="796"/>
      <c r="BL489" s="796"/>
    </row>
    <row r="490" spans="1:64" ht="15" customHeight="1">
      <c r="A490" s="796" t="s">
        <v>1602</v>
      </c>
      <c r="B490" s="795" t="str">
        <f t="shared" si="116"/>
        <v>III</v>
      </c>
      <c r="C490" s="796" t="s">
        <v>1603</v>
      </c>
      <c r="D490" s="795" t="str">
        <f t="shared" si="117"/>
        <v>II</v>
      </c>
      <c r="M490" s="796" t="s">
        <v>1604</v>
      </c>
      <c r="N490" s="796" t="str">
        <f t="shared" si="121"/>
        <v>I</v>
      </c>
      <c r="Q490" s="796" t="s">
        <v>1605</v>
      </c>
      <c r="R490" s="796" t="str">
        <f t="shared" si="119"/>
        <v>II</v>
      </c>
      <c r="S490" s="796" t="s">
        <v>1606</v>
      </c>
      <c r="T490" s="796" t="str">
        <f t="shared" si="120"/>
        <v>II</v>
      </c>
      <c r="AG490" s="796"/>
      <c r="AH490" s="796"/>
      <c r="AI490" s="796"/>
      <c r="AJ490" s="796"/>
      <c r="AK490" s="796"/>
      <c r="AL490" s="796"/>
      <c r="AM490" s="796"/>
      <c r="AN490" s="796"/>
      <c r="AO490" s="796"/>
      <c r="AP490" s="796"/>
      <c r="AQ490" s="796"/>
      <c r="AR490" s="796"/>
      <c r="AS490" s="796"/>
      <c r="AT490" s="796"/>
      <c r="AU490" s="796"/>
      <c r="AV490" s="796"/>
      <c r="AW490" s="796"/>
      <c r="AX490" s="796"/>
      <c r="AY490" s="796"/>
      <c r="AZ490" s="796"/>
      <c r="BA490" s="796"/>
      <c r="BB490" s="796"/>
      <c r="BC490" s="796"/>
      <c r="BD490" s="796"/>
      <c r="BE490" s="796"/>
      <c r="BF490" s="796"/>
      <c r="BG490" s="796"/>
      <c r="BH490" s="796"/>
      <c r="BI490" s="796"/>
      <c r="BJ490" s="796"/>
      <c r="BK490" s="796"/>
      <c r="BL490" s="796"/>
    </row>
    <row r="491" spans="1:64" ht="15" customHeight="1">
      <c r="A491" s="796" t="s">
        <v>1607</v>
      </c>
      <c r="B491" s="795" t="str">
        <f t="shared" si="116"/>
        <v>IV</v>
      </c>
      <c r="C491" s="796" t="s">
        <v>1608</v>
      </c>
      <c r="D491" s="795" t="str">
        <f t="shared" si="117"/>
        <v>I</v>
      </c>
      <c r="M491" s="796" t="s">
        <v>1609</v>
      </c>
      <c r="N491" s="796" t="str">
        <f t="shared" si="121"/>
        <v>II</v>
      </c>
      <c r="Q491" s="796" t="s">
        <v>1610</v>
      </c>
      <c r="R491" s="796" t="str">
        <f t="shared" si="119"/>
        <v>I</v>
      </c>
      <c r="S491" s="796" t="s">
        <v>1611</v>
      </c>
      <c r="T491" s="796" t="str">
        <f t="shared" si="120"/>
        <v>III</v>
      </c>
      <c r="AG491" s="796"/>
      <c r="AH491" s="796"/>
      <c r="AI491" s="796"/>
      <c r="AJ491" s="796"/>
      <c r="AK491" s="796"/>
      <c r="AL491" s="796"/>
      <c r="AM491" s="796"/>
      <c r="AN491" s="796"/>
      <c r="AO491" s="796"/>
      <c r="AP491" s="796"/>
      <c r="AQ491" s="796"/>
      <c r="AR491" s="796"/>
      <c r="AS491" s="796"/>
      <c r="AT491" s="796"/>
      <c r="AU491" s="796"/>
      <c r="AV491" s="796"/>
      <c r="AW491" s="796"/>
      <c r="AX491" s="796"/>
      <c r="AY491" s="796"/>
      <c r="AZ491" s="796"/>
      <c r="BA491" s="796"/>
      <c r="BB491" s="796"/>
      <c r="BC491" s="796"/>
      <c r="BD491" s="796"/>
      <c r="BE491" s="796"/>
      <c r="BF491" s="796"/>
      <c r="BG491" s="796"/>
      <c r="BH491" s="796"/>
      <c r="BI491" s="796"/>
      <c r="BJ491" s="796"/>
      <c r="BK491" s="796"/>
      <c r="BL491" s="796"/>
    </row>
    <row r="492" spans="1:64" ht="15" customHeight="1">
      <c r="A492" s="796" t="s">
        <v>1612</v>
      </c>
      <c r="B492" s="795" t="str">
        <f t="shared" si="116"/>
        <v>V</v>
      </c>
      <c r="C492" s="796" t="s">
        <v>1613</v>
      </c>
      <c r="D492" s="795" t="str">
        <f t="shared" si="117"/>
        <v>III</v>
      </c>
      <c r="M492" s="796" t="s">
        <v>1614</v>
      </c>
      <c r="N492" s="796" t="str">
        <f t="shared" si="121"/>
        <v>IV</v>
      </c>
      <c r="Q492" s="796" t="s">
        <v>1615</v>
      </c>
      <c r="R492" s="796" t="str">
        <f t="shared" si="119"/>
        <v>III</v>
      </c>
      <c r="S492" s="796" t="s">
        <v>1616</v>
      </c>
      <c r="T492" s="796" t="str">
        <f t="shared" si="120"/>
        <v>I</v>
      </c>
      <c r="AG492" s="796"/>
      <c r="AH492" s="796"/>
      <c r="AI492" s="796"/>
      <c r="AJ492" s="796"/>
      <c r="AK492" s="796"/>
      <c r="AL492" s="796"/>
      <c r="AM492" s="796"/>
      <c r="AN492" s="796"/>
      <c r="AO492" s="796"/>
      <c r="AP492" s="796"/>
      <c r="AQ492" s="796"/>
      <c r="AR492" s="796"/>
      <c r="AS492" s="796"/>
      <c r="AT492" s="796"/>
      <c r="AU492" s="796"/>
      <c r="AV492" s="796"/>
      <c r="AW492" s="796"/>
      <c r="AX492" s="796"/>
      <c r="AY492" s="796"/>
      <c r="AZ492" s="796"/>
      <c r="BA492" s="796"/>
      <c r="BB492" s="796"/>
      <c r="BC492" s="796"/>
      <c r="BD492" s="796"/>
      <c r="BE492" s="796"/>
      <c r="BF492" s="796"/>
      <c r="BG492" s="796"/>
      <c r="BH492" s="796"/>
      <c r="BI492" s="796"/>
      <c r="BJ492" s="796"/>
      <c r="BK492" s="796"/>
      <c r="BL492" s="796"/>
    </row>
    <row r="493" spans="1:64" ht="15" customHeight="1">
      <c r="A493" s="796" t="s">
        <v>1617</v>
      </c>
      <c r="B493" s="795" t="str">
        <f t="shared" si="116"/>
        <v>III</v>
      </c>
      <c r="C493" s="796" t="s">
        <v>1618</v>
      </c>
      <c r="D493" s="795" t="str">
        <f t="shared" si="117"/>
        <v>I</v>
      </c>
      <c r="M493" s="796" t="s">
        <v>1619</v>
      </c>
      <c r="N493" s="796" t="str">
        <f t="shared" si="121"/>
        <v>I</v>
      </c>
      <c r="Q493" s="796" t="s">
        <v>1620</v>
      </c>
      <c r="R493" s="796" t="str">
        <f t="shared" si="119"/>
        <v>III</v>
      </c>
      <c r="S493" s="796" t="s">
        <v>1621</v>
      </c>
      <c r="T493" s="796" t="str">
        <f t="shared" si="120"/>
        <v>II</v>
      </c>
      <c r="AG493" s="796"/>
      <c r="AH493" s="796"/>
      <c r="AI493" s="796"/>
      <c r="AJ493" s="796"/>
      <c r="AK493" s="796"/>
      <c r="AL493" s="796"/>
      <c r="AM493" s="796"/>
      <c r="AN493" s="796"/>
      <c r="AO493" s="796"/>
      <c r="AP493" s="796"/>
      <c r="AQ493" s="796"/>
      <c r="AR493" s="796"/>
      <c r="AS493" s="796"/>
      <c r="AT493" s="796"/>
      <c r="AU493" s="796"/>
      <c r="AV493" s="796"/>
      <c r="AW493" s="796"/>
      <c r="AX493" s="796"/>
      <c r="AY493" s="796"/>
      <c r="AZ493" s="796"/>
      <c r="BA493" s="796"/>
      <c r="BB493" s="796"/>
      <c r="BC493" s="796"/>
      <c r="BD493" s="796"/>
      <c r="BE493" s="796"/>
      <c r="BF493" s="796"/>
      <c r="BG493" s="796"/>
      <c r="BH493" s="796"/>
      <c r="BI493" s="796"/>
      <c r="BJ493" s="796"/>
      <c r="BK493" s="796"/>
      <c r="BL493" s="796"/>
    </row>
    <row r="494" spans="1:64" ht="15" customHeight="1">
      <c r="A494" s="796" t="s">
        <v>1622</v>
      </c>
      <c r="B494" s="795" t="str">
        <f t="shared" si="116"/>
        <v>V</v>
      </c>
      <c r="C494" s="796" t="s">
        <v>1623</v>
      </c>
      <c r="D494" s="795" t="str">
        <f t="shared" si="117"/>
        <v>I</v>
      </c>
      <c r="M494" s="796" t="s">
        <v>1624</v>
      </c>
      <c r="N494" s="796" t="str">
        <f t="shared" si="121"/>
        <v>V</v>
      </c>
      <c r="Q494" s="796" t="s">
        <v>1625</v>
      </c>
      <c r="R494" s="796" t="str">
        <f t="shared" si="119"/>
        <v>I</v>
      </c>
      <c r="S494" s="796" t="s">
        <v>1626</v>
      </c>
      <c r="T494" s="796" t="str">
        <f t="shared" si="120"/>
        <v>I</v>
      </c>
      <c r="AG494" s="796"/>
      <c r="AH494" s="796"/>
      <c r="AI494" s="796"/>
      <c r="AJ494" s="796"/>
      <c r="AK494" s="796"/>
      <c r="AL494" s="796"/>
      <c r="AM494" s="796"/>
      <c r="AN494" s="796"/>
      <c r="AO494" s="796"/>
      <c r="AP494" s="796"/>
      <c r="AQ494" s="796"/>
      <c r="AR494" s="796"/>
      <c r="AS494" s="796"/>
      <c r="AT494" s="796"/>
      <c r="AU494" s="796"/>
      <c r="AV494" s="796"/>
      <c r="AW494" s="796"/>
      <c r="AX494" s="796"/>
      <c r="AY494" s="796"/>
      <c r="AZ494" s="796"/>
      <c r="BA494" s="796"/>
      <c r="BB494" s="796"/>
      <c r="BC494" s="796"/>
      <c r="BD494" s="796"/>
      <c r="BE494" s="796"/>
      <c r="BF494" s="796"/>
      <c r="BG494" s="796"/>
      <c r="BH494" s="796"/>
      <c r="BI494" s="796"/>
      <c r="BJ494" s="796"/>
      <c r="BK494" s="796"/>
      <c r="BL494" s="796"/>
    </row>
    <row r="495" spans="1:64" ht="15" customHeight="1">
      <c r="A495" s="796" t="s">
        <v>1627</v>
      </c>
      <c r="B495" s="795" t="str">
        <f t="shared" si="116"/>
        <v>V</v>
      </c>
      <c r="C495" s="796" t="s">
        <v>1628</v>
      </c>
      <c r="D495" s="795" t="str">
        <f t="shared" si="117"/>
        <v>I</v>
      </c>
      <c r="M495" s="796" t="s">
        <v>1629</v>
      </c>
      <c r="N495" s="796" t="str">
        <f t="shared" si="121"/>
        <v>I</v>
      </c>
      <c r="Q495" s="796" t="s">
        <v>1630</v>
      </c>
      <c r="R495" s="796" t="str">
        <f t="shared" si="119"/>
        <v>II</v>
      </c>
      <c r="S495" s="796" t="s">
        <v>1631</v>
      </c>
      <c r="T495" s="796" t="str">
        <f t="shared" si="120"/>
        <v>I</v>
      </c>
      <c r="AG495" s="796"/>
      <c r="AH495" s="796"/>
      <c r="AI495" s="796"/>
      <c r="AJ495" s="796"/>
      <c r="AK495" s="796"/>
      <c r="AL495" s="796"/>
      <c r="AM495" s="796"/>
      <c r="AN495" s="796"/>
      <c r="AO495" s="796"/>
      <c r="AP495" s="796"/>
      <c r="AQ495" s="796"/>
      <c r="AR495" s="796"/>
      <c r="AS495" s="796"/>
      <c r="AT495" s="796"/>
      <c r="AU495" s="796"/>
      <c r="AV495" s="796"/>
      <c r="AW495" s="796"/>
      <c r="AX495" s="796"/>
      <c r="AY495" s="796"/>
      <c r="AZ495" s="796"/>
      <c r="BA495" s="796"/>
      <c r="BB495" s="796"/>
      <c r="BC495" s="796"/>
      <c r="BD495" s="796"/>
      <c r="BE495" s="796"/>
      <c r="BF495" s="796"/>
      <c r="BG495" s="796"/>
      <c r="BH495" s="796"/>
      <c r="BI495" s="796"/>
      <c r="BJ495" s="796"/>
      <c r="BK495" s="796"/>
      <c r="BL495" s="796"/>
    </row>
    <row r="496" spans="1:64" ht="15" customHeight="1">
      <c r="A496" s="796" t="s">
        <v>1632</v>
      </c>
      <c r="B496" s="795" t="str">
        <f t="shared" si="116"/>
        <v>IV</v>
      </c>
      <c r="C496" s="796" t="s">
        <v>1633</v>
      </c>
      <c r="D496" s="795" t="str">
        <f t="shared" si="117"/>
        <v>I</v>
      </c>
      <c r="M496" s="796" t="s">
        <v>1634</v>
      </c>
      <c r="N496" s="796" t="str">
        <f t="shared" si="121"/>
        <v>V</v>
      </c>
      <c r="Q496" s="796" t="s">
        <v>1635</v>
      </c>
      <c r="R496" s="796" t="str">
        <f t="shared" si="119"/>
        <v>I</v>
      </c>
      <c r="S496" s="796" t="s">
        <v>1636</v>
      </c>
      <c r="T496" s="796" t="str">
        <f t="shared" si="120"/>
        <v>I</v>
      </c>
      <c r="AG496" s="796"/>
      <c r="AH496" s="796"/>
      <c r="AI496" s="796"/>
      <c r="AJ496" s="796"/>
      <c r="AK496" s="796"/>
      <c r="AL496" s="796"/>
      <c r="AM496" s="796"/>
      <c r="AN496" s="796"/>
      <c r="AO496" s="796"/>
      <c r="AP496" s="796"/>
      <c r="AQ496" s="796"/>
      <c r="AR496" s="796"/>
      <c r="AS496" s="796"/>
      <c r="AT496" s="796"/>
      <c r="AU496" s="796"/>
      <c r="AV496" s="796"/>
      <c r="AW496" s="796"/>
      <c r="AX496" s="796"/>
      <c r="AY496" s="796"/>
      <c r="AZ496" s="796"/>
      <c r="BA496" s="796"/>
      <c r="BB496" s="796"/>
      <c r="BC496" s="796"/>
      <c r="BD496" s="796"/>
      <c r="BE496" s="796"/>
      <c r="BF496" s="796"/>
      <c r="BG496" s="796"/>
      <c r="BH496" s="796"/>
      <c r="BI496" s="796"/>
      <c r="BJ496" s="796"/>
      <c r="BK496" s="796"/>
      <c r="BL496" s="796"/>
    </row>
    <row r="497" spans="1:64" ht="15" customHeight="1">
      <c r="A497" s="796" t="s">
        <v>1637</v>
      </c>
      <c r="B497" s="795" t="str">
        <f t="shared" si="116"/>
        <v>IV</v>
      </c>
      <c r="C497" s="796" t="s">
        <v>1638</v>
      </c>
      <c r="D497" s="795" t="str">
        <f t="shared" si="117"/>
        <v>VI</v>
      </c>
      <c r="M497" s="796" t="s">
        <v>1639</v>
      </c>
      <c r="N497" s="796" t="str">
        <f t="shared" si="121"/>
        <v>IV</v>
      </c>
      <c r="Q497" s="796" t="s">
        <v>1640</v>
      </c>
      <c r="R497" s="796" t="str">
        <f t="shared" si="119"/>
        <v>I</v>
      </c>
      <c r="S497" s="796" t="s">
        <v>1641</v>
      </c>
      <c r="T497" s="796" t="str">
        <f t="shared" si="120"/>
        <v>I</v>
      </c>
      <c r="AG497" s="796"/>
      <c r="AH497" s="796"/>
      <c r="AI497" s="796"/>
      <c r="AJ497" s="796"/>
      <c r="AK497" s="796"/>
      <c r="AL497" s="796"/>
      <c r="AM497" s="796"/>
      <c r="AN497" s="796"/>
      <c r="AO497" s="796"/>
      <c r="AP497" s="796"/>
      <c r="AQ497" s="796"/>
      <c r="AR497" s="796"/>
      <c r="AS497" s="796"/>
      <c r="AT497" s="796"/>
      <c r="AU497" s="796"/>
      <c r="AV497" s="796"/>
      <c r="AW497" s="796"/>
      <c r="AX497" s="796"/>
      <c r="AY497" s="796"/>
      <c r="AZ497" s="796"/>
      <c r="BA497" s="796"/>
      <c r="BB497" s="796"/>
      <c r="BC497" s="796"/>
      <c r="BD497" s="796"/>
      <c r="BE497" s="796"/>
      <c r="BF497" s="796"/>
      <c r="BG497" s="796"/>
      <c r="BH497" s="796"/>
      <c r="BI497" s="796"/>
      <c r="BJ497" s="796"/>
      <c r="BK497" s="796"/>
      <c r="BL497" s="796"/>
    </row>
    <row r="498" spans="1:64" ht="15" customHeight="1">
      <c r="A498" s="796" t="s">
        <v>1642</v>
      </c>
      <c r="B498" s="795" t="str">
        <f t="shared" si="116"/>
        <v>IV</v>
      </c>
      <c r="C498" s="796" t="s">
        <v>1643</v>
      </c>
      <c r="D498" s="795" t="str">
        <f t="shared" si="117"/>
        <v>I</v>
      </c>
      <c r="M498" s="796" t="s">
        <v>1644</v>
      </c>
      <c r="N498" s="796" t="str">
        <f t="shared" si="121"/>
        <v>II</v>
      </c>
      <c r="Q498" s="796" t="s">
        <v>1645</v>
      </c>
      <c r="R498" s="796" t="str">
        <f t="shared" si="119"/>
        <v>I</v>
      </c>
      <c r="S498" s="796" t="s">
        <v>1646</v>
      </c>
      <c r="T498" s="796" t="str">
        <f t="shared" si="120"/>
        <v>II</v>
      </c>
      <c r="AG498" s="796"/>
      <c r="AH498" s="796"/>
      <c r="AI498" s="796"/>
      <c r="AJ498" s="796"/>
      <c r="AK498" s="796"/>
      <c r="AL498" s="796"/>
      <c r="AM498" s="796"/>
      <c r="AN498" s="796"/>
      <c r="AO498" s="796"/>
      <c r="AP498" s="796"/>
      <c r="AQ498" s="796"/>
      <c r="AR498" s="796"/>
      <c r="AS498" s="796"/>
      <c r="AT498" s="796"/>
      <c r="AU498" s="796"/>
      <c r="AV498" s="796"/>
      <c r="AW498" s="796"/>
      <c r="AX498" s="796"/>
      <c r="AY498" s="796"/>
      <c r="AZ498" s="796"/>
      <c r="BA498" s="796"/>
      <c r="BB498" s="796"/>
      <c r="BC498" s="796"/>
      <c r="BD498" s="796"/>
      <c r="BE498" s="796"/>
      <c r="BF498" s="796"/>
      <c r="BG498" s="796"/>
      <c r="BH498" s="796"/>
      <c r="BI498" s="796"/>
      <c r="BJ498" s="796"/>
      <c r="BK498" s="796"/>
      <c r="BL498" s="796"/>
    </row>
    <row r="499" spans="1:64" ht="15" customHeight="1">
      <c r="A499" s="796" t="s">
        <v>1647</v>
      </c>
      <c r="B499" s="795" t="str">
        <f t="shared" si="116"/>
        <v>I</v>
      </c>
      <c r="C499" s="796" t="s">
        <v>1648</v>
      </c>
      <c r="D499" s="795" t="str">
        <f t="shared" si="117"/>
        <v>I</v>
      </c>
      <c r="M499" s="796" t="s">
        <v>1649</v>
      </c>
      <c r="N499" s="796" t="str">
        <f t="shared" si="121"/>
        <v>II</v>
      </c>
      <c r="Q499" s="796" t="s">
        <v>1650</v>
      </c>
      <c r="R499" s="796" t="str">
        <f t="shared" si="119"/>
        <v>II</v>
      </c>
      <c r="S499" s="796" t="s">
        <v>1651</v>
      </c>
      <c r="T499" s="796" t="str">
        <f t="shared" si="120"/>
        <v>I</v>
      </c>
      <c r="AG499" s="796"/>
      <c r="AH499" s="796"/>
      <c r="AI499" s="796"/>
      <c r="AJ499" s="796"/>
      <c r="AK499" s="796"/>
      <c r="AL499" s="796"/>
      <c r="AM499" s="796"/>
      <c r="AN499" s="796"/>
      <c r="AO499" s="796"/>
      <c r="AP499" s="796"/>
      <c r="AQ499" s="796"/>
      <c r="AR499" s="796"/>
      <c r="AS499" s="796"/>
      <c r="AT499" s="796"/>
      <c r="AU499" s="796"/>
      <c r="AV499" s="796"/>
      <c r="AW499" s="796"/>
      <c r="AX499" s="796"/>
      <c r="AY499" s="796"/>
      <c r="AZ499" s="796"/>
      <c r="BA499" s="796"/>
      <c r="BB499" s="796"/>
      <c r="BC499" s="796"/>
      <c r="BD499" s="796"/>
      <c r="BE499" s="796"/>
      <c r="BF499" s="796"/>
      <c r="BG499" s="796"/>
      <c r="BH499" s="796"/>
      <c r="BI499" s="796"/>
      <c r="BJ499" s="796"/>
      <c r="BK499" s="796"/>
      <c r="BL499" s="796"/>
    </row>
    <row r="500" spans="1:64" ht="15" customHeight="1">
      <c r="A500" s="796" t="s">
        <v>1652</v>
      </c>
      <c r="B500" s="795" t="str">
        <f t="shared" si="116"/>
        <v>IV</v>
      </c>
      <c r="C500" s="796" t="s">
        <v>1653</v>
      </c>
      <c r="D500" s="795" t="str">
        <f t="shared" si="117"/>
        <v>II</v>
      </c>
      <c r="M500" s="796" t="s">
        <v>1654</v>
      </c>
      <c r="N500" s="796" t="str">
        <f t="shared" si="121"/>
        <v>I</v>
      </c>
      <c r="Q500" s="796" t="s">
        <v>1655</v>
      </c>
      <c r="R500" s="796" t="str">
        <f t="shared" si="119"/>
        <v>IV</v>
      </c>
      <c r="S500" s="796" t="s">
        <v>1656</v>
      </c>
      <c r="T500" s="796" t="str">
        <f t="shared" si="120"/>
        <v>II</v>
      </c>
      <c r="AG500" s="796"/>
      <c r="AH500" s="796"/>
      <c r="AI500" s="796"/>
      <c r="AJ500" s="796"/>
      <c r="AK500" s="796"/>
      <c r="AL500" s="796"/>
      <c r="AM500" s="796"/>
      <c r="AN500" s="796"/>
      <c r="AO500" s="796"/>
      <c r="AP500" s="796"/>
      <c r="AQ500" s="796"/>
      <c r="AR500" s="796"/>
      <c r="AS500" s="796"/>
      <c r="AT500" s="796"/>
      <c r="AU500" s="796"/>
      <c r="AV500" s="796"/>
      <c r="AW500" s="796"/>
      <c r="AX500" s="796"/>
      <c r="AY500" s="796"/>
      <c r="AZ500" s="796"/>
      <c r="BA500" s="796"/>
      <c r="BB500" s="796"/>
      <c r="BC500" s="796"/>
      <c r="BD500" s="796"/>
      <c r="BE500" s="796"/>
      <c r="BF500" s="796"/>
      <c r="BG500" s="796"/>
      <c r="BH500" s="796"/>
      <c r="BI500" s="796"/>
      <c r="BJ500" s="796"/>
      <c r="BK500" s="796"/>
      <c r="BL500" s="796"/>
    </row>
    <row r="501" spans="1:64" ht="15" customHeight="1">
      <c r="A501" s="796" t="s">
        <v>1657</v>
      </c>
      <c r="B501" s="795" t="str">
        <f t="shared" si="116"/>
        <v>V</v>
      </c>
      <c r="C501" s="796" t="s">
        <v>1658</v>
      </c>
      <c r="D501" s="795" t="str">
        <f t="shared" si="117"/>
        <v>I</v>
      </c>
      <c r="M501" s="796" t="s">
        <v>1659</v>
      </c>
      <c r="N501" s="796" t="str">
        <f t="shared" si="121"/>
        <v>V</v>
      </c>
      <c r="Q501" s="796" t="s">
        <v>1660</v>
      </c>
      <c r="R501" s="796" t="str">
        <f t="shared" si="119"/>
        <v>III</v>
      </c>
      <c r="S501" s="796" t="s">
        <v>1661</v>
      </c>
      <c r="T501" s="796" t="str">
        <f t="shared" si="120"/>
        <v>I</v>
      </c>
      <c r="AG501" s="796"/>
      <c r="AH501" s="796"/>
      <c r="AI501" s="796"/>
      <c r="AJ501" s="796"/>
      <c r="AK501" s="796"/>
      <c r="AL501" s="796"/>
      <c r="AM501" s="796"/>
      <c r="AN501" s="796"/>
      <c r="AO501" s="796"/>
      <c r="AP501" s="796"/>
      <c r="AQ501" s="796"/>
      <c r="AR501" s="796"/>
      <c r="AS501" s="796"/>
      <c r="AT501" s="796"/>
      <c r="AU501" s="796"/>
      <c r="AV501" s="796"/>
      <c r="AW501" s="796"/>
      <c r="AX501" s="796"/>
      <c r="AY501" s="796"/>
      <c r="AZ501" s="796"/>
      <c r="BA501" s="796"/>
      <c r="BB501" s="796"/>
      <c r="BC501" s="796"/>
      <c r="BD501" s="796"/>
      <c r="BE501" s="796"/>
      <c r="BF501" s="796"/>
      <c r="BG501" s="796"/>
      <c r="BH501" s="796"/>
      <c r="BI501" s="796"/>
      <c r="BJ501" s="796"/>
      <c r="BK501" s="796"/>
      <c r="BL501" s="796"/>
    </row>
    <row r="502" spans="1:64" ht="15" customHeight="1">
      <c r="A502" s="796" t="s">
        <v>1662</v>
      </c>
      <c r="B502" s="795" t="str">
        <f t="shared" si="116"/>
        <v>III</v>
      </c>
      <c r="C502" s="796" t="s">
        <v>1663</v>
      </c>
      <c r="D502" s="795" t="str">
        <f t="shared" si="117"/>
        <v>III</v>
      </c>
      <c r="M502" s="796" t="s">
        <v>1664</v>
      </c>
      <c r="N502" s="796" t="str">
        <f t="shared" si="121"/>
        <v>IV</v>
      </c>
      <c r="Q502" s="796" t="s">
        <v>1665</v>
      </c>
      <c r="R502" s="796" t="str">
        <f t="shared" si="119"/>
        <v>IV</v>
      </c>
      <c r="S502" s="796" t="s">
        <v>1666</v>
      </c>
      <c r="T502" s="796" t="str">
        <f t="shared" si="120"/>
        <v>I</v>
      </c>
      <c r="AG502" s="796"/>
      <c r="AH502" s="796"/>
      <c r="AI502" s="796"/>
      <c r="AJ502" s="796"/>
      <c r="AK502" s="796"/>
      <c r="AL502" s="796"/>
      <c r="AM502" s="796"/>
      <c r="AN502" s="796"/>
      <c r="AO502" s="796"/>
      <c r="AP502" s="796"/>
      <c r="AQ502" s="796"/>
      <c r="AR502" s="796"/>
      <c r="AS502" s="796"/>
      <c r="AT502" s="796"/>
      <c r="AU502" s="796"/>
      <c r="AV502" s="796"/>
      <c r="AW502" s="796"/>
      <c r="AX502" s="796"/>
      <c r="AY502" s="796"/>
      <c r="AZ502" s="796"/>
      <c r="BA502" s="796"/>
      <c r="BB502" s="796"/>
      <c r="BC502" s="796"/>
      <c r="BD502" s="796"/>
      <c r="BE502" s="796"/>
      <c r="BF502" s="796"/>
      <c r="BG502" s="796"/>
      <c r="BH502" s="796"/>
      <c r="BI502" s="796"/>
      <c r="BJ502" s="796"/>
      <c r="BK502" s="796"/>
      <c r="BL502" s="796"/>
    </row>
    <row r="503" spans="1:64" ht="15" customHeight="1">
      <c r="A503" s="796" t="s">
        <v>1667</v>
      </c>
      <c r="B503" s="795" t="str">
        <f t="shared" si="116"/>
        <v>IV</v>
      </c>
      <c r="C503" s="796" t="s">
        <v>1668</v>
      </c>
      <c r="D503" s="795" t="str">
        <f t="shared" si="117"/>
        <v>I</v>
      </c>
      <c r="M503" s="796" t="s">
        <v>1669</v>
      </c>
      <c r="N503" s="796" t="str">
        <f t="shared" si="121"/>
        <v>IV</v>
      </c>
      <c r="Q503" s="796" t="s">
        <v>1670</v>
      </c>
      <c r="R503" s="796" t="str">
        <f t="shared" si="119"/>
        <v>III</v>
      </c>
      <c r="S503" s="796" t="s">
        <v>1671</v>
      </c>
      <c r="T503" s="796" t="str">
        <f t="shared" si="120"/>
        <v>II</v>
      </c>
      <c r="AG503" s="796"/>
      <c r="AH503" s="796"/>
      <c r="AI503" s="796"/>
      <c r="AJ503" s="796"/>
      <c r="AK503" s="796"/>
      <c r="AL503" s="796"/>
      <c r="AM503" s="796"/>
      <c r="AN503" s="796"/>
      <c r="AO503" s="796"/>
      <c r="AP503" s="796"/>
      <c r="AQ503" s="796"/>
      <c r="AR503" s="796"/>
      <c r="AS503" s="796"/>
      <c r="AT503" s="796"/>
      <c r="AU503" s="796"/>
      <c r="AV503" s="796"/>
      <c r="AW503" s="796"/>
      <c r="AX503" s="796"/>
      <c r="AY503" s="796"/>
      <c r="AZ503" s="796"/>
      <c r="BA503" s="796"/>
      <c r="BB503" s="796"/>
      <c r="BC503" s="796"/>
      <c r="BD503" s="796"/>
      <c r="BE503" s="796"/>
      <c r="BF503" s="796"/>
      <c r="BG503" s="796"/>
      <c r="BH503" s="796"/>
      <c r="BI503" s="796"/>
      <c r="BJ503" s="796"/>
      <c r="BK503" s="796"/>
      <c r="BL503" s="796"/>
    </row>
    <row r="504" spans="1:64" ht="15" customHeight="1">
      <c r="A504" s="796" t="s">
        <v>1672</v>
      </c>
      <c r="B504" s="795" t="str">
        <f t="shared" si="116"/>
        <v>III</v>
      </c>
      <c r="C504" s="796" t="s">
        <v>1673</v>
      </c>
      <c r="D504" s="795" t="str">
        <f t="shared" si="117"/>
        <v>I</v>
      </c>
      <c r="M504" s="796" t="s">
        <v>1674</v>
      </c>
      <c r="N504" s="796" t="str">
        <f t="shared" si="121"/>
        <v>IV</v>
      </c>
      <c r="Q504" s="796" t="s">
        <v>1675</v>
      </c>
      <c r="R504" s="796" t="str">
        <f t="shared" si="119"/>
        <v>II</v>
      </c>
      <c r="S504" s="796" t="s">
        <v>1676</v>
      </c>
      <c r="T504" s="796" t="str">
        <f t="shared" si="120"/>
        <v>I</v>
      </c>
      <c r="AG504" s="796"/>
      <c r="AH504" s="796"/>
      <c r="AI504" s="796"/>
      <c r="AJ504" s="796"/>
      <c r="AK504" s="796"/>
      <c r="AL504" s="796"/>
      <c r="AM504" s="796"/>
      <c r="AN504" s="796"/>
      <c r="AO504" s="796"/>
      <c r="AP504" s="796"/>
      <c r="AQ504" s="796"/>
      <c r="AR504" s="796"/>
      <c r="AS504" s="796"/>
      <c r="AT504" s="796"/>
      <c r="AU504" s="796"/>
      <c r="AV504" s="796"/>
      <c r="AW504" s="796"/>
      <c r="AX504" s="796"/>
      <c r="AY504" s="796"/>
      <c r="AZ504" s="796"/>
      <c r="BA504" s="796"/>
      <c r="BB504" s="796"/>
      <c r="BC504" s="796"/>
      <c r="BD504" s="796"/>
      <c r="BE504" s="796"/>
      <c r="BF504" s="796"/>
      <c r="BG504" s="796"/>
      <c r="BH504" s="796"/>
      <c r="BI504" s="796"/>
      <c r="BJ504" s="796"/>
      <c r="BK504" s="796"/>
      <c r="BL504" s="796"/>
    </row>
    <row r="505" spans="1:64" ht="15" customHeight="1">
      <c r="A505" s="796" t="s">
        <v>1677</v>
      </c>
      <c r="B505" s="795" t="str">
        <f t="shared" si="116"/>
        <v>IV</v>
      </c>
      <c r="C505" s="796" t="s">
        <v>1678</v>
      </c>
      <c r="D505" s="795" t="str">
        <f t="shared" si="117"/>
        <v>II</v>
      </c>
      <c r="M505" s="796" t="s">
        <v>1679</v>
      </c>
      <c r="N505" s="796" t="str">
        <f t="shared" si="121"/>
        <v>II</v>
      </c>
      <c r="Q505" s="796" t="s">
        <v>1680</v>
      </c>
      <c r="R505" s="796" t="str">
        <f t="shared" si="119"/>
        <v>II</v>
      </c>
      <c r="S505" s="796" t="s">
        <v>1681</v>
      </c>
      <c r="T505" s="796" t="str">
        <f t="shared" si="120"/>
        <v>I</v>
      </c>
      <c r="AG505" s="796"/>
      <c r="AH505" s="796"/>
      <c r="AI505" s="796"/>
      <c r="AJ505" s="796"/>
      <c r="AK505" s="796"/>
      <c r="AL505" s="796"/>
      <c r="AM505" s="796"/>
      <c r="AN505" s="796"/>
      <c r="AO505" s="796"/>
      <c r="AP505" s="796"/>
      <c r="AQ505" s="796"/>
      <c r="AR505" s="796"/>
      <c r="AS505" s="796"/>
      <c r="AT505" s="796"/>
      <c r="AU505" s="796"/>
      <c r="AV505" s="796"/>
      <c r="AW505" s="796"/>
      <c r="AX505" s="796"/>
      <c r="AY505" s="796"/>
      <c r="AZ505" s="796"/>
      <c r="BA505" s="796"/>
      <c r="BB505" s="796"/>
      <c r="BC505" s="796"/>
      <c r="BD505" s="796"/>
      <c r="BE505" s="796"/>
      <c r="BF505" s="796"/>
      <c r="BG505" s="796"/>
      <c r="BH505" s="796"/>
      <c r="BI505" s="796"/>
      <c r="BJ505" s="796"/>
      <c r="BK505" s="796"/>
      <c r="BL505" s="796"/>
    </row>
    <row r="506" spans="1:64" ht="15" customHeight="1">
      <c r="A506" s="796" t="s">
        <v>1682</v>
      </c>
      <c r="B506" s="795" t="str">
        <f t="shared" si="116"/>
        <v>II</v>
      </c>
      <c r="C506" s="796" t="s">
        <v>1683</v>
      </c>
      <c r="D506" s="795" t="str">
        <f t="shared" si="117"/>
        <v>II</v>
      </c>
      <c r="M506" s="796" t="s">
        <v>1684</v>
      </c>
      <c r="N506" s="796" t="str">
        <f t="shared" si="121"/>
        <v>III</v>
      </c>
      <c r="Q506" s="796" t="s">
        <v>1685</v>
      </c>
      <c r="R506" s="796" t="str">
        <f t="shared" si="119"/>
        <v>II</v>
      </c>
      <c r="S506" s="796" t="s">
        <v>1686</v>
      </c>
      <c r="T506" s="796" t="str">
        <f t="shared" si="120"/>
        <v>II</v>
      </c>
      <c r="AG506" s="796"/>
      <c r="AH506" s="796"/>
      <c r="AI506" s="796"/>
      <c r="AJ506" s="796"/>
      <c r="AK506" s="796"/>
      <c r="AL506" s="796"/>
      <c r="AM506" s="796"/>
      <c r="AN506" s="796"/>
      <c r="AO506" s="796"/>
      <c r="AP506" s="796"/>
      <c r="AQ506" s="796"/>
      <c r="AR506" s="796"/>
      <c r="AS506" s="796"/>
      <c r="AT506" s="796"/>
      <c r="AU506" s="796"/>
      <c r="AV506" s="796"/>
      <c r="AW506" s="796"/>
      <c r="AX506" s="796"/>
      <c r="AY506" s="796"/>
      <c r="AZ506" s="796"/>
      <c r="BA506" s="796"/>
      <c r="BB506" s="796"/>
      <c r="BC506" s="796"/>
      <c r="BD506" s="796"/>
      <c r="BE506" s="796"/>
      <c r="BF506" s="796"/>
      <c r="BG506" s="796"/>
      <c r="BH506" s="796"/>
      <c r="BI506" s="796"/>
      <c r="BJ506" s="796"/>
      <c r="BK506" s="796"/>
      <c r="BL506" s="796"/>
    </row>
    <row r="507" spans="1:64" ht="15" customHeight="1">
      <c r="A507" s="796" t="s">
        <v>1687</v>
      </c>
      <c r="B507" s="795" t="str">
        <f t="shared" si="116"/>
        <v>II</v>
      </c>
      <c r="C507" s="796" t="s">
        <v>1688</v>
      </c>
      <c r="D507" s="795" t="str">
        <f t="shared" si="117"/>
        <v>II</v>
      </c>
      <c r="M507" s="796" t="s">
        <v>1689</v>
      </c>
      <c r="N507" s="796" t="str">
        <f t="shared" si="121"/>
        <v>II</v>
      </c>
      <c r="Q507" s="796" t="s">
        <v>1690</v>
      </c>
      <c r="R507" s="796" t="str">
        <f t="shared" si="119"/>
        <v>I</v>
      </c>
      <c r="S507" s="796" t="s">
        <v>1691</v>
      </c>
      <c r="T507" s="796" t="str">
        <f t="shared" si="120"/>
        <v>II</v>
      </c>
      <c r="AG507" s="796"/>
      <c r="AH507" s="796"/>
      <c r="AI507" s="796"/>
      <c r="AJ507" s="796"/>
      <c r="AK507" s="796"/>
      <c r="AL507" s="796"/>
      <c r="AM507" s="796"/>
      <c r="AN507" s="796"/>
      <c r="AO507" s="796"/>
      <c r="AP507" s="796"/>
      <c r="AQ507" s="796"/>
      <c r="AR507" s="796"/>
      <c r="AS507" s="796"/>
      <c r="AT507" s="796"/>
      <c r="AU507" s="796"/>
      <c r="AV507" s="796"/>
      <c r="AW507" s="796"/>
      <c r="AX507" s="796"/>
      <c r="AY507" s="796"/>
      <c r="AZ507" s="796"/>
      <c r="BA507" s="796"/>
      <c r="BB507" s="796"/>
      <c r="BC507" s="796"/>
      <c r="BD507" s="796"/>
      <c r="BE507" s="796"/>
      <c r="BF507" s="796"/>
      <c r="BG507" s="796"/>
      <c r="BH507" s="796"/>
      <c r="BI507" s="796"/>
      <c r="BJ507" s="796"/>
      <c r="BK507" s="796"/>
      <c r="BL507" s="796"/>
    </row>
    <row r="508" spans="1:64" ht="15" customHeight="1">
      <c r="A508" s="796" t="s">
        <v>1692</v>
      </c>
      <c r="B508" s="795" t="str">
        <f t="shared" si="116"/>
        <v>IV</v>
      </c>
      <c r="C508" s="796" t="s">
        <v>1693</v>
      </c>
      <c r="D508" s="795" t="str">
        <f t="shared" si="117"/>
        <v>I</v>
      </c>
      <c r="M508" s="796" t="s">
        <v>1694</v>
      </c>
      <c r="N508" s="796" t="str">
        <f t="shared" si="121"/>
        <v>II</v>
      </c>
      <c r="Q508" s="796" t="s">
        <v>1695</v>
      </c>
      <c r="R508" s="796" t="str">
        <f t="shared" si="119"/>
        <v>I</v>
      </c>
      <c r="S508" s="796" t="s">
        <v>1696</v>
      </c>
      <c r="T508" s="796" t="str">
        <f t="shared" si="120"/>
        <v>II</v>
      </c>
      <c r="AG508" s="796"/>
      <c r="AH508" s="796"/>
      <c r="AI508" s="796"/>
      <c r="AJ508" s="796"/>
      <c r="AK508" s="796"/>
      <c r="AL508" s="796"/>
      <c r="AM508" s="796"/>
      <c r="AN508" s="796"/>
      <c r="AO508" s="796"/>
      <c r="AP508" s="796"/>
      <c r="AQ508" s="796"/>
      <c r="AR508" s="796"/>
      <c r="AS508" s="796"/>
      <c r="AT508" s="796"/>
      <c r="AU508" s="796"/>
      <c r="AV508" s="796"/>
      <c r="AW508" s="796"/>
      <c r="AX508" s="796"/>
      <c r="AY508" s="796"/>
      <c r="AZ508" s="796"/>
      <c r="BA508" s="796"/>
      <c r="BB508" s="796"/>
      <c r="BC508" s="796"/>
      <c r="BD508" s="796"/>
      <c r="BE508" s="796"/>
      <c r="BF508" s="796"/>
      <c r="BG508" s="796"/>
      <c r="BH508" s="796"/>
      <c r="BI508" s="796"/>
      <c r="BJ508" s="796"/>
      <c r="BK508" s="796"/>
      <c r="BL508" s="796"/>
    </row>
    <row r="509" spans="1:64" ht="15" customHeight="1">
      <c r="A509" s="796" t="s">
        <v>1697</v>
      </c>
      <c r="B509" s="795" t="str">
        <f t="shared" si="116"/>
        <v>IV</v>
      </c>
      <c r="C509" s="796" t="s">
        <v>1698</v>
      </c>
      <c r="D509" s="795" t="str">
        <f t="shared" si="117"/>
        <v>I</v>
      </c>
      <c r="M509" s="796" t="s">
        <v>1699</v>
      </c>
      <c r="N509" s="796" t="str">
        <f t="shared" si="121"/>
        <v>I</v>
      </c>
      <c r="Q509" s="796" t="s">
        <v>1700</v>
      </c>
      <c r="R509" s="796" t="str">
        <f t="shared" si="119"/>
        <v>I</v>
      </c>
      <c r="S509" s="796" t="s">
        <v>1701</v>
      </c>
      <c r="T509" s="796" t="str">
        <f t="shared" si="120"/>
        <v>III</v>
      </c>
      <c r="AG509" s="796"/>
      <c r="AH509" s="796"/>
      <c r="AI509" s="796"/>
      <c r="AJ509" s="796"/>
      <c r="AK509" s="796"/>
      <c r="AL509" s="796"/>
      <c r="AM509" s="796"/>
      <c r="AN509" s="796"/>
      <c r="AO509" s="796"/>
      <c r="AP509" s="796"/>
      <c r="AQ509" s="796"/>
      <c r="AR509" s="796"/>
      <c r="AS509" s="796"/>
      <c r="AT509" s="796"/>
      <c r="AU509" s="796"/>
      <c r="AV509" s="796"/>
      <c r="AW509" s="796"/>
      <c r="AX509" s="796"/>
      <c r="AY509" s="796"/>
      <c r="AZ509" s="796"/>
      <c r="BA509" s="796"/>
      <c r="BB509" s="796"/>
      <c r="BC509" s="796"/>
      <c r="BD509" s="796"/>
      <c r="BE509" s="796"/>
      <c r="BF509" s="796"/>
      <c r="BG509" s="796"/>
      <c r="BH509" s="796"/>
      <c r="BI509" s="796"/>
      <c r="BJ509" s="796"/>
      <c r="BK509" s="796"/>
      <c r="BL509" s="796"/>
    </row>
    <row r="510" spans="1:64" ht="15" customHeight="1">
      <c r="A510" s="796" t="s">
        <v>1702</v>
      </c>
      <c r="B510" s="795" t="str">
        <f t="shared" si="116"/>
        <v>III</v>
      </c>
      <c r="C510" s="796" t="s">
        <v>1703</v>
      </c>
      <c r="D510" s="795" t="str">
        <f t="shared" si="117"/>
        <v>V</v>
      </c>
      <c r="M510" s="796" t="s">
        <v>1704</v>
      </c>
      <c r="N510" s="796" t="str">
        <f t="shared" si="121"/>
        <v>V</v>
      </c>
      <c r="Q510" s="796" t="s">
        <v>1705</v>
      </c>
      <c r="R510" s="796" t="str">
        <f t="shared" si="119"/>
        <v>II</v>
      </c>
      <c r="S510" s="796" t="s">
        <v>1706</v>
      </c>
      <c r="T510" s="796" t="str">
        <f t="shared" si="120"/>
        <v>II</v>
      </c>
      <c r="AG510" s="796"/>
      <c r="AH510" s="796"/>
      <c r="AI510" s="796"/>
      <c r="AJ510" s="796"/>
      <c r="AK510" s="796"/>
      <c r="AL510" s="796"/>
      <c r="AM510" s="796"/>
      <c r="AN510" s="796"/>
      <c r="AO510" s="796"/>
      <c r="AP510" s="796"/>
      <c r="AQ510" s="796"/>
      <c r="AR510" s="796"/>
      <c r="AS510" s="796"/>
      <c r="AT510" s="796"/>
      <c r="AU510" s="796"/>
      <c r="AV510" s="796"/>
      <c r="AW510" s="796"/>
      <c r="AX510" s="796"/>
      <c r="AY510" s="796"/>
      <c r="AZ510" s="796"/>
      <c r="BA510" s="796"/>
      <c r="BB510" s="796"/>
      <c r="BC510" s="796"/>
      <c r="BD510" s="796"/>
      <c r="BE510" s="796"/>
      <c r="BF510" s="796"/>
      <c r="BG510" s="796"/>
      <c r="BH510" s="796"/>
      <c r="BI510" s="796"/>
      <c r="BJ510" s="796"/>
      <c r="BK510" s="796"/>
      <c r="BL510" s="796"/>
    </row>
    <row r="511" spans="1:64" ht="15" customHeight="1">
      <c r="A511" s="796" t="s">
        <v>1707</v>
      </c>
      <c r="B511" s="795" t="str">
        <f t="shared" si="116"/>
        <v>IV</v>
      </c>
      <c r="C511" s="796" t="s">
        <v>1708</v>
      </c>
      <c r="D511" s="795" t="str">
        <f t="shared" si="117"/>
        <v>IV</v>
      </c>
      <c r="M511" s="796" t="s">
        <v>1709</v>
      </c>
      <c r="N511" s="796" t="str">
        <f t="shared" si="121"/>
        <v>III</v>
      </c>
      <c r="Q511" s="796" t="s">
        <v>1710</v>
      </c>
      <c r="R511" s="796" t="str">
        <f t="shared" si="119"/>
        <v>I</v>
      </c>
      <c r="S511" s="796" t="s">
        <v>1711</v>
      </c>
      <c r="T511" s="796" t="str">
        <f t="shared" si="120"/>
        <v>IV</v>
      </c>
      <c r="AG511" s="796"/>
      <c r="AH511" s="796"/>
      <c r="AI511" s="796"/>
      <c r="AJ511" s="796"/>
      <c r="AK511" s="796"/>
      <c r="AL511" s="796"/>
      <c r="AM511" s="796"/>
      <c r="AN511" s="796"/>
      <c r="AO511" s="796"/>
      <c r="AP511" s="796"/>
      <c r="AQ511" s="796"/>
      <c r="AR511" s="796"/>
      <c r="AS511" s="796"/>
      <c r="AT511" s="796"/>
      <c r="AU511" s="796"/>
      <c r="AV511" s="796"/>
      <c r="AW511" s="796"/>
      <c r="AX511" s="796"/>
      <c r="AY511" s="796"/>
      <c r="AZ511" s="796"/>
      <c r="BA511" s="796"/>
      <c r="BB511" s="796"/>
      <c r="BC511" s="796"/>
      <c r="BD511" s="796"/>
      <c r="BE511" s="796"/>
      <c r="BF511" s="796"/>
      <c r="BG511" s="796"/>
      <c r="BH511" s="796"/>
      <c r="BI511" s="796"/>
      <c r="BJ511" s="796"/>
      <c r="BK511" s="796"/>
      <c r="BL511" s="796"/>
    </row>
    <row r="512" spans="1:64" ht="15" customHeight="1">
      <c r="A512" s="796" t="s">
        <v>1712</v>
      </c>
      <c r="B512" s="795" t="str">
        <f t="shared" si="116"/>
        <v>V</v>
      </c>
      <c r="C512" s="796" t="s">
        <v>1713</v>
      </c>
      <c r="D512" s="795" t="str">
        <f t="shared" si="117"/>
        <v>II</v>
      </c>
      <c r="M512" s="796" t="s">
        <v>1714</v>
      </c>
      <c r="N512" s="796" t="str">
        <f t="shared" si="121"/>
        <v>III</v>
      </c>
      <c r="Q512" s="796" t="s">
        <v>1715</v>
      </c>
      <c r="R512" s="796" t="str">
        <f t="shared" si="119"/>
        <v>I</v>
      </c>
      <c r="S512" s="796" t="s">
        <v>1716</v>
      </c>
      <c r="T512" s="796" t="str">
        <f t="shared" si="120"/>
        <v>II</v>
      </c>
      <c r="AG512" s="796"/>
      <c r="AH512" s="796"/>
      <c r="AI512" s="796"/>
      <c r="AJ512" s="796"/>
      <c r="AK512" s="796"/>
      <c r="AL512" s="796"/>
      <c r="AM512" s="796"/>
      <c r="AN512" s="796"/>
      <c r="AO512" s="796"/>
      <c r="AP512" s="796"/>
      <c r="AQ512" s="796"/>
      <c r="AR512" s="796"/>
      <c r="AS512" s="796"/>
      <c r="AT512" s="796"/>
      <c r="AU512" s="796"/>
      <c r="AV512" s="796"/>
      <c r="AW512" s="796"/>
      <c r="AX512" s="796"/>
      <c r="AY512" s="796"/>
      <c r="AZ512" s="796"/>
      <c r="BA512" s="796"/>
      <c r="BB512" s="796"/>
      <c r="BC512" s="796"/>
      <c r="BD512" s="796"/>
      <c r="BE512" s="796"/>
      <c r="BF512" s="796"/>
      <c r="BG512" s="796"/>
      <c r="BH512" s="796"/>
      <c r="BI512" s="796"/>
      <c r="BJ512" s="796"/>
      <c r="BK512" s="796"/>
      <c r="BL512" s="796"/>
    </row>
    <row r="513" spans="1:64" ht="15" customHeight="1">
      <c r="A513" s="796" t="s">
        <v>1717</v>
      </c>
      <c r="B513" s="795" t="str">
        <f t="shared" si="116"/>
        <v>III</v>
      </c>
      <c r="C513" s="796" t="s">
        <v>1718</v>
      </c>
      <c r="D513" s="795" t="str">
        <f t="shared" si="117"/>
        <v>III</v>
      </c>
      <c r="M513" s="796" t="s">
        <v>1719</v>
      </c>
      <c r="N513" s="796" t="str">
        <f t="shared" si="121"/>
        <v>VI</v>
      </c>
      <c r="Q513" s="796" t="s">
        <v>1720</v>
      </c>
      <c r="R513" s="796" t="str">
        <f t="shared" si="119"/>
        <v>I</v>
      </c>
      <c r="S513" s="796" t="s">
        <v>1721</v>
      </c>
      <c r="T513" s="796" t="str">
        <f t="shared" si="120"/>
        <v>IV</v>
      </c>
      <c r="AG513" s="796"/>
      <c r="AH513" s="796"/>
      <c r="AI513" s="796"/>
      <c r="AJ513" s="796"/>
      <c r="AK513" s="796"/>
      <c r="AL513" s="796"/>
      <c r="AM513" s="796"/>
      <c r="AN513" s="796"/>
      <c r="AO513" s="796"/>
      <c r="AP513" s="796"/>
      <c r="AQ513" s="796"/>
      <c r="AR513" s="796"/>
      <c r="AS513" s="796"/>
      <c r="AT513" s="796"/>
      <c r="AU513" s="796"/>
      <c r="AV513" s="796"/>
      <c r="AW513" s="796"/>
      <c r="AX513" s="796"/>
      <c r="AY513" s="796"/>
      <c r="AZ513" s="796"/>
      <c r="BA513" s="796"/>
      <c r="BB513" s="796"/>
      <c r="BC513" s="796"/>
      <c r="BD513" s="796"/>
      <c r="BE513" s="796"/>
      <c r="BF513" s="796"/>
      <c r="BG513" s="796"/>
      <c r="BH513" s="796"/>
      <c r="BI513" s="796"/>
      <c r="BJ513" s="796"/>
      <c r="BK513" s="796"/>
      <c r="BL513" s="796"/>
    </row>
    <row r="514" spans="1:64" ht="15" customHeight="1">
      <c r="A514" s="796" t="s">
        <v>1722</v>
      </c>
      <c r="B514" s="795" t="str">
        <f t="shared" si="116"/>
        <v>IV</v>
      </c>
      <c r="C514" s="796" t="s">
        <v>1723</v>
      </c>
      <c r="D514" s="795" t="str">
        <f t="shared" si="117"/>
        <v>IV</v>
      </c>
      <c r="M514" s="796" t="s">
        <v>1724</v>
      </c>
      <c r="N514" s="796" t="str">
        <f t="shared" si="121"/>
        <v>I</v>
      </c>
      <c r="Q514" s="796" t="s">
        <v>1725</v>
      </c>
      <c r="R514" s="796" t="str">
        <f t="shared" si="119"/>
        <v>II</v>
      </c>
      <c r="S514" s="796" t="s">
        <v>1726</v>
      </c>
      <c r="T514" s="796" t="str">
        <f t="shared" si="120"/>
        <v>II</v>
      </c>
      <c r="AG514" s="796"/>
      <c r="AH514" s="796"/>
      <c r="AI514" s="796"/>
      <c r="AJ514" s="796"/>
      <c r="AK514" s="796"/>
      <c r="AL514" s="796"/>
      <c r="AM514" s="796"/>
      <c r="AN514" s="796"/>
      <c r="AO514" s="796"/>
      <c r="AP514" s="796"/>
      <c r="AQ514" s="796"/>
      <c r="AR514" s="796"/>
      <c r="AS514" s="796"/>
      <c r="AT514" s="796"/>
      <c r="AU514" s="796"/>
      <c r="AV514" s="796"/>
      <c r="AW514" s="796"/>
      <c r="AX514" s="796"/>
      <c r="AY514" s="796"/>
      <c r="AZ514" s="796"/>
      <c r="BA514" s="796"/>
      <c r="BB514" s="796"/>
      <c r="BC514" s="796"/>
      <c r="BD514" s="796"/>
      <c r="BE514" s="796"/>
      <c r="BF514" s="796"/>
      <c r="BG514" s="796"/>
      <c r="BH514" s="796"/>
      <c r="BI514" s="796"/>
      <c r="BJ514" s="796"/>
      <c r="BK514" s="796"/>
      <c r="BL514" s="796"/>
    </row>
    <row r="515" spans="1:64" ht="15" customHeight="1">
      <c r="A515" s="796" t="s">
        <v>1727</v>
      </c>
      <c r="B515" s="795" t="str">
        <f t="shared" si="116"/>
        <v>V</v>
      </c>
      <c r="C515" s="796" t="s">
        <v>1728</v>
      </c>
      <c r="D515" s="795" t="str">
        <f t="shared" si="117"/>
        <v>I</v>
      </c>
      <c r="M515" s="796" t="s">
        <v>1729</v>
      </c>
      <c r="N515" s="796" t="str">
        <f t="shared" si="121"/>
        <v>I</v>
      </c>
      <c r="Q515" s="796" t="s">
        <v>1730</v>
      </c>
      <c r="R515" s="796" t="str">
        <f t="shared" si="119"/>
        <v>IV</v>
      </c>
      <c r="S515" s="796" t="s">
        <v>1731</v>
      </c>
      <c r="T515" s="796" t="str">
        <f t="shared" si="120"/>
        <v>I</v>
      </c>
      <c r="AG515" s="796"/>
      <c r="AH515" s="796"/>
      <c r="AI515" s="796"/>
      <c r="AJ515" s="796"/>
      <c r="AK515" s="796"/>
      <c r="AL515" s="796"/>
      <c r="AM515" s="796"/>
      <c r="AN515" s="796"/>
      <c r="AO515" s="796"/>
      <c r="AP515" s="796"/>
      <c r="AQ515" s="796"/>
      <c r="AR515" s="796"/>
      <c r="AS515" s="796"/>
      <c r="AT515" s="796"/>
      <c r="AU515" s="796"/>
      <c r="AV515" s="796"/>
      <c r="AW515" s="796"/>
      <c r="AX515" s="796"/>
      <c r="AY515" s="796"/>
      <c r="AZ515" s="796"/>
      <c r="BA515" s="796"/>
      <c r="BB515" s="796"/>
      <c r="BC515" s="796"/>
      <c r="BD515" s="796"/>
      <c r="BE515" s="796"/>
      <c r="BF515" s="796"/>
      <c r="BG515" s="796"/>
      <c r="BH515" s="796"/>
      <c r="BI515" s="796"/>
      <c r="BJ515" s="796"/>
      <c r="BK515" s="796"/>
      <c r="BL515" s="796"/>
    </row>
    <row r="516" spans="1:64" ht="15" customHeight="1">
      <c r="A516" s="796" t="s">
        <v>1732</v>
      </c>
      <c r="B516" s="795" t="str">
        <f t="shared" ref="B516:B579" si="122">VLOOKUP(A516,BaWü,IF(Jahreszahl&lt;2020,3,2))</f>
        <v>II</v>
      </c>
      <c r="C516" s="796" t="s">
        <v>1733</v>
      </c>
      <c r="D516" s="795" t="str">
        <f t="shared" ref="D516:D579" si="123">VLOOKUP(C516,Bayern,IF(Jahreszahl&lt;2020,3,2))</f>
        <v>III</v>
      </c>
      <c r="Q516" s="796" t="s">
        <v>1734</v>
      </c>
      <c r="R516" s="796" t="str">
        <f t="shared" ref="R516:R565" si="124">VLOOKUP(Q516,Niedersachsen,IF(Jahreszahl&lt;2020,3,2))</f>
        <v>I</v>
      </c>
      <c r="S516" s="796" t="s">
        <v>1735</v>
      </c>
      <c r="T516" s="796" t="str">
        <f t="shared" ref="T516:T579" si="125">VLOOKUP(S516,NRW,IF(Jahreszahl&lt;2020,3,2))</f>
        <v>II</v>
      </c>
      <c r="AG516" s="796"/>
      <c r="AH516" s="796"/>
      <c r="AI516" s="796"/>
      <c r="AJ516" s="796"/>
      <c r="AK516" s="796"/>
      <c r="AL516" s="796"/>
      <c r="AM516" s="796"/>
      <c r="AN516" s="796"/>
      <c r="AO516" s="796"/>
      <c r="AP516" s="796"/>
      <c r="AQ516" s="796"/>
      <c r="AR516" s="796"/>
      <c r="AS516" s="796"/>
      <c r="AT516" s="796"/>
      <c r="AU516" s="796"/>
      <c r="AV516" s="796"/>
      <c r="AW516" s="796"/>
      <c r="AX516" s="796"/>
      <c r="AY516" s="796"/>
      <c r="AZ516" s="796"/>
      <c r="BA516" s="796"/>
      <c r="BB516" s="796"/>
      <c r="BC516" s="796"/>
      <c r="BD516" s="796"/>
      <c r="BE516" s="796"/>
      <c r="BF516" s="796"/>
      <c r="BG516" s="796"/>
      <c r="BH516" s="796"/>
      <c r="BI516" s="796"/>
      <c r="BJ516" s="796"/>
      <c r="BK516" s="796"/>
      <c r="BL516" s="796"/>
    </row>
    <row r="517" spans="1:64" ht="15" customHeight="1">
      <c r="A517" s="796" t="s">
        <v>1736</v>
      </c>
      <c r="B517" s="795" t="str">
        <f t="shared" si="122"/>
        <v>II</v>
      </c>
      <c r="C517" s="796" t="s">
        <v>1737</v>
      </c>
      <c r="D517" s="795" t="str">
        <f t="shared" si="123"/>
        <v>I</v>
      </c>
      <c r="Q517" s="796" t="s">
        <v>1738</v>
      </c>
      <c r="R517" s="796" t="str">
        <f t="shared" si="124"/>
        <v>V</v>
      </c>
      <c r="S517" s="796" t="s">
        <v>1739</v>
      </c>
      <c r="T517" s="796" t="str">
        <f t="shared" si="125"/>
        <v>II</v>
      </c>
      <c r="AG517" s="796"/>
      <c r="AH517" s="796"/>
      <c r="AI517" s="796"/>
      <c r="AJ517" s="796"/>
      <c r="AK517" s="796"/>
      <c r="AL517" s="796"/>
      <c r="AM517" s="796"/>
      <c r="AN517" s="796"/>
      <c r="AO517" s="796"/>
      <c r="AP517" s="796"/>
      <c r="AQ517" s="796"/>
      <c r="AR517" s="796"/>
      <c r="AS517" s="796"/>
      <c r="AT517" s="796"/>
      <c r="AU517" s="796"/>
      <c r="AV517" s="796"/>
      <c r="AW517" s="796"/>
      <c r="AX517" s="796"/>
      <c r="AY517" s="796"/>
      <c r="AZ517" s="796"/>
      <c r="BA517" s="796"/>
      <c r="BB517" s="796"/>
      <c r="BC517" s="796"/>
      <c r="BD517" s="796"/>
      <c r="BE517" s="796"/>
      <c r="BF517" s="796"/>
      <c r="BG517" s="796"/>
      <c r="BH517" s="796"/>
      <c r="BI517" s="796"/>
      <c r="BJ517" s="796"/>
      <c r="BK517" s="796"/>
      <c r="BL517" s="796"/>
    </row>
    <row r="518" spans="1:64" ht="15" customHeight="1">
      <c r="A518" s="796" t="s">
        <v>1740</v>
      </c>
      <c r="B518" s="795" t="str">
        <f t="shared" si="122"/>
        <v>I</v>
      </c>
      <c r="C518" s="796" t="s">
        <v>1741</v>
      </c>
      <c r="D518" s="795" t="str">
        <f t="shared" si="123"/>
        <v>V</v>
      </c>
      <c r="Q518" s="796" t="s">
        <v>1742</v>
      </c>
      <c r="R518" s="796" t="str">
        <f t="shared" si="124"/>
        <v>III</v>
      </c>
      <c r="S518" s="796" t="s">
        <v>1743</v>
      </c>
      <c r="T518" s="796" t="str">
        <f t="shared" si="125"/>
        <v>IV</v>
      </c>
      <c r="AG518" s="796"/>
      <c r="AH518" s="796"/>
      <c r="AI518" s="796"/>
      <c r="AJ518" s="796"/>
      <c r="AK518" s="796"/>
      <c r="AL518" s="796"/>
      <c r="AM518" s="796"/>
      <c r="AN518" s="796"/>
      <c r="AO518" s="796"/>
      <c r="AP518" s="796"/>
      <c r="AQ518" s="796"/>
      <c r="AR518" s="796"/>
      <c r="AS518" s="796"/>
      <c r="AT518" s="796"/>
      <c r="AU518" s="796"/>
      <c r="AV518" s="796"/>
      <c r="AW518" s="796"/>
      <c r="AX518" s="796"/>
      <c r="AY518" s="796"/>
      <c r="AZ518" s="796"/>
      <c r="BA518" s="796"/>
      <c r="BB518" s="796"/>
      <c r="BC518" s="796"/>
      <c r="BD518" s="796"/>
      <c r="BE518" s="796"/>
      <c r="BF518" s="796"/>
      <c r="BG518" s="796"/>
      <c r="BH518" s="796"/>
      <c r="BI518" s="796"/>
      <c r="BJ518" s="796"/>
      <c r="BK518" s="796"/>
      <c r="BL518" s="796"/>
    </row>
    <row r="519" spans="1:64" ht="15" customHeight="1">
      <c r="A519" s="796" t="s">
        <v>1744</v>
      </c>
      <c r="B519" s="795" t="str">
        <f t="shared" si="122"/>
        <v>III</v>
      </c>
      <c r="C519" s="796" t="s">
        <v>1745</v>
      </c>
      <c r="D519" s="795" t="str">
        <f t="shared" si="123"/>
        <v>III</v>
      </c>
      <c r="Q519" s="796" t="s">
        <v>1746</v>
      </c>
      <c r="R519" s="796" t="str">
        <f t="shared" si="124"/>
        <v>II</v>
      </c>
      <c r="S519" s="796" t="s">
        <v>1747</v>
      </c>
      <c r="T519" s="796" t="str">
        <f t="shared" si="125"/>
        <v>I</v>
      </c>
      <c r="AG519" s="796"/>
      <c r="AH519" s="796"/>
      <c r="AI519" s="796"/>
      <c r="AJ519" s="796"/>
      <c r="AK519" s="796"/>
      <c r="AL519" s="796"/>
      <c r="AM519" s="796"/>
      <c r="AN519" s="796"/>
      <c r="AO519" s="796"/>
      <c r="AP519" s="796"/>
      <c r="AQ519" s="796"/>
      <c r="AR519" s="796"/>
      <c r="AS519" s="796"/>
      <c r="AT519" s="796"/>
      <c r="AU519" s="796"/>
      <c r="AV519" s="796"/>
      <c r="AW519" s="796"/>
      <c r="AX519" s="796"/>
      <c r="AY519" s="796"/>
      <c r="AZ519" s="796"/>
      <c r="BA519" s="796"/>
      <c r="BB519" s="796"/>
      <c r="BC519" s="796"/>
      <c r="BD519" s="796"/>
      <c r="BE519" s="796"/>
      <c r="BF519" s="796"/>
      <c r="BG519" s="796"/>
      <c r="BH519" s="796"/>
      <c r="BI519" s="796"/>
      <c r="BJ519" s="796"/>
      <c r="BK519" s="796"/>
      <c r="BL519" s="796"/>
    </row>
    <row r="520" spans="1:64" ht="15" customHeight="1">
      <c r="A520" s="796" t="s">
        <v>1748</v>
      </c>
      <c r="B520" s="795" t="str">
        <f t="shared" si="122"/>
        <v>III</v>
      </c>
      <c r="C520" s="796" t="s">
        <v>1749</v>
      </c>
      <c r="D520" s="795" t="str">
        <f t="shared" si="123"/>
        <v>II</v>
      </c>
      <c r="Q520" s="796" t="s">
        <v>1750</v>
      </c>
      <c r="R520" s="796" t="str">
        <f t="shared" si="124"/>
        <v>II</v>
      </c>
      <c r="S520" s="796" t="s">
        <v>1751</v>
      </c>
      <c r="T520" s="796" t="str">
        <f t="shared" si="125"/>
        <v>III</v>
      </c>
      <c r="AG520" s="796"/>
      <c r="AH520" s="796"/>
      <c r="AI520" s="796"/>
      <c r="AJ520" s="796"/>
      <c r="AK520" s="796"/>
      <c r="AL520" s="796"/>
      <c r="AM520" s="796"/>
      <c r="AN520" s="796"/>
      <c r="AO520" s="796"/>
      <c r="AP520" s="796"/>
      <c r="AQ520" s="796"/>
      <c r="AR520" s="796"/>
      <c r="AS520" s="796"/>
      <c r="AT520" s="796"/>
      <c r="AU520" s="796"/>
      <c r="AV520" s="796"/>
      <c r="AW520" s="796"/>
      <c r="AX520" s="796"/>
      <c r="AY520" s="796"/>
      <c r="AZ520" s="796"/>
      <c r="BA520" s="796"/>
      <c r="BB520" s="796"/>
      <c r="BC520" s="796"/>
      <c r="BD520" s="796"/>
      <c r="BE520" s="796"/>
      <c r="BF520" s="796"/>
      <c r="BG520" s="796"/>
      <c r="BH520" s="796"/>
      <c r="BI520" s="796"/>
      <c r="BJ520" s="796"/>
      <c r="BK520" s="796"/>
      <c r="BL520" s="796"/>
    </row>
    <row r="521" spans="1:64" ht="15" customHeight="1">
      <c r="A521" s="796" t="s">
        <v>1752</v>
      </c>
      <c r="B521" s="795" t="str">
        <f t="shared" si="122"/>
        <v>III</v>
      </c>
      <c r="C521" s="796" t="s">
        <v>1753</v>
      </c>
      <c r="D521" s="795" t="str">
        <f t="shared" si="123"/>
        <v>II</v>
      </c>
      <c r="Q521" s="796" t="s">
        <v>1754</v>
      </c>
      <c r="R521" s="796" t="str">
        <f t="shared" si="124"/>
        <v>IV</v>
      </c>
      <c r="S521" s="796" t="s">
        <v>1755</v>
      </c>
      <c r="T521" s="796" t="str">
        <f t="shared" si="125"/>
        <v>II</v>
      </c>
      <c r="AG521" s="796"/>
      <c r="AH521" s="796"/>
      <c r="AI521" s="796"/>
      <c r="AJ521" s="796"/>
      <c r="AK521" s="796"/>
      <c r="AL521" s="796"/>
      <c r="AM521" s="796"/>
      <c r="AN521" s="796"/>
      <c r="AO521" s="796"/>
      <c r="AP521" s="796"/>
      <c r="AQ521" s="796"/>
      <c r="AR521" s="796"/>
      <c r="AS521" s="796"/>
      <c r="AT521" s="796"/>
      <c r="AU521" s="796"/>
      <c r="AV521" s="796"/>
      <c r="AW521" s="796"/>
      <c r="AX521" s="796"/>
      <c r="AY521" s="796"/>
      <c r="AZ521" s="796"/>
      <c r="BA521" s="796"/>
      <c r="BB521" s="796"/>
      <c r="BC521" s="796"/>
      <c r="BD521" s="796"/>
      <c r="BE521" s="796"/>
      <c r="BF521" s="796"/>
      <c r="BG521" s="796"/>
      <c r="BH521" s="796"/>
      <c r="BI521" s="796"/>
      <c r="BJ521" s="796"/>
      <c r="BK521" s="796"/>
      <c r="BL521" s="796"/>
    </row>
    <row r="522" spans="1:64" ht="15" customHeight="1">
      <c r="A522" s="796" t="s">
        <v>1756</v>
      </c>
      <c r="B522" s="795" t="str">
        <f t="shared" si="122"/>
        <v>III</v>
      </c>
      <c r="C522" s="796" t="s">
        <v>1757</v>
      </c>
      <c r="D522" s="795" t="str">
        <f t="shared" si="123"/>
        <v>VI</v>
      </c>
      <c r="Q522" s="796" t="s">
        <v>1758</v>
      </c>
      <c r="R522" s="796" t="str">
        <f t="shared" si="124"/>
        <v>II</v>
      </c>
      <c r="S522" s="796" t="s">
        <v>1759</v>
      </c>
      <c r="T522" s="796" t="str">
        <f t="shared" si="125"/>
        <v>I</v>
      </c>
      <c r="AG522" s="796"/>
      <c r="AH522" s="796"/>
      <c r="AI522" s="796"/>
      <c r="AJ522" s="796"/>
      <c r="AK522" s="796"/>
      <c r="AL522" s="796"/>
      <c r="AM522" s="796"/>
      <c r="AN522" s="796"/>
      <c r="AO522" s="796"/>
      <c r="AP522" s="796"/>
      <c r="AQ522" s="796"/>
      <c r="AR522" s="796"/>
      <c r="AS522" s="796"/>
      <c r="AT522" s="796"/>
      <c r="AU522" s="796"/>
      <c r="AV522" s="796"/>
      <c r="AW522" s="796"/>
      <c r="AX522" s="796"/>
      <c r="AY522" s="796"/>
      <c r="AZ522" s="796"/>
      <c r="BA522" s="796"/>
      <c r="BB522" s="796"/>
      <c r="BC522" s="796"/>
      <c r="BD522" s="796"/>
      <c r="BE522" s="796"/>
      <c r="BF522" s="796"/>
      <c r="BG522" s="796"/>
      <c r="BH522" s="796"/>
      <c r="BI522" s="796"/>
      <c r="BJ522" s="796"/>
      <c r="BK522" s="796"/>
      <c r="BL522" s="796"/>
    </row>
    <row r="523" spans="1:64" ht="15" customHeight="1">
      <c r="A523" s="796" t="s">
        <v>1760</v>
      </c>
      <c r="B523" s="795" t="str">
        <f t="shared" si="122"/>
        <v>V</v>
      </c>
      <c r="C523" s="796" t="s">
        <v>1761</v>
      </c>
      <c r="D523" s="795" t="str">
        <f t="shared" si="123"/>
        <v>V</v>
      </c>
      <c r="Q523" s="796" t="s">
        <v>1762</v>
      </c>
      <c r="R523" s="796" t="str">
        <f t="shared" si="124"/>
        <v>I</v>
      </c>
      <c r="S523" s="796" t="s">
        <v>1763</v>
      </c>
      <c r="T523" s="796" t="str">
        <f t="shared" si="125"/>
        <v>II</v>
      </c>
      <c r="AG523" s="796"/>
      <c r="AH523" s="796"/>
      <c r="AI523" s="796"/>
      <c r="AJ523" s="796"/>
      <c r="AK523" s="796"/>
      <c r="AL523" s="796"/>
      <c r="AM523" s="796"/>
      <c r="AN523" s="796"/>
      <c r="AO523" s="796"/>
      <c r="AP523" s="796"/>
      <c r="AQ523" s="796"/>
      <c r="AR523" s="796"/>
      <c r="AS523" s="796"/>
      <c r="AT523" s="796"/>
      <c r="AU523" s="796"/>
      <c r="AV523" s="796"/>
      <c r="AW523" s="796"/>
      <c r="AX523" s="796"/>
      <c r="AY523" s="796"/>
      <c r="AZ523" s="796"/>
      <c r="BA523" s="796"/>
      <c r="BB523" s="796"/>
      <c r="BC523" s="796"/>
      <c r="BD523" s="796"/>
      <c r="BE523" s="796"/>
      <c r="BF523" s="796"/>
      <c r="BG523" s="796"/>
      <c r="BH523" s="796"/>
      <c r="BI523" s="796"/>
      <c r="BJ523" s="796"/>
      <c r="BK523" s="796"/>
      <c r="BL523" s="796"/>
    </row>
    <row r="524" spans="1:64" ht="15" customHeight="1">
      <c r="A524" s="796" t="s">
        <v>1764</v>
      </c>
      <c r="B524" s="795" t="str">
        <f t="shared" si="122"/>
        <v>II</v>
      </c>
      <c r="C524" s="796" t="s">
        <v>1765</v>
      </c>
      <c r="D524" s="795" t="str">
        <f t="shared" si="123"/>
        <v>V</v>
      </c>
      <c r="Q524" s="796" t="s">
        <v>1766</v>
      </c>
      <c r="R524" s="796" t="str">
        <f t="shared" si="124"/>
        <v>V</v>
      </c>
      <c r="S524" s="796" t="s">
        <v>1767</v>
      </c>
      <c r="T524" s="796" t="str">
        <f t="shared" si="125"/>
        <v>IV</v>
      </c>
      <c r="AG524" s="796"/>
      <c r="AH524" s="796"/>
      <c r="AI524" s="796"/>
      <c r="AJ524" s="796"/>
      <c r="AK524" s="796"/>
      <c r="AL524" s="796"/>
      <c r="AM524" s="796"/>
      <c r="AN524" s="796"/>
      <c r="AO524" s="796"/>
      <c r="AP524" s="796"/>
      <c r="AQ524" s="796"/>
      <c r="AR524" s="796"/>
      <c r="AS524" s="796"/>
      <c r="AT524" s="796"/>
      <c r="AU524" s="796"/>
      <c r="AV524" s="796"/>
      <c r="AW524" s="796"/>
      <c r="AX524" s="796"/>
      <c r="AY524" s="796"/>
      <c r="AZ524" s="796"/>
      <c r="BA524" s="796"/>
      <c r="BB524" s="796"/>
      <c r="BC524" s="796"/>
      <c r="BD524" s="796"/>
      <c r="BE524" s="796"/>
      <c r="BF524" s="796"/>
      <c r="BG524" s="796"/>
      <c r="BH524" s="796"/>
      <c r="BI524" s="796"/>
      <c r="BJ524" s="796"/>
      <c r="BK524" s="796"/>
      <c r="BL524" s="796"/>
    </row>
    <row r="525" spans="1:64" ht="15" customHeight="1">
      <c r="A525" s="796" t="s">
        <v>1768</v>
      </c>
      <c r="B525" s="795" t="str">
        <f t="shared" si="122"/>
        <v>III</v>
      </c>
      <c r="C525" s="796" t="s">
        <v>1769</v>
      </c>
      <c r="D525" s="795" t="str">
        <f t="shared" si="123"/>
        <v>VII</v>
      </c>
      <c r="Q525" s="796" t="s">
        <v>1770</v>
      </c>
      <c r="R525" s="796" t="str">
        <f t="shared" si="124"/>
        <v>III</v>
      </c>
      <c r="S525" s="796" t="s">
        <v>1771</v>
      </c>
      <c r="T525" s="796" t="str">
        <f t="shared" si="125"/>
        <v>II</v>
      </c>
      <c r="AG525" s="796"/>
      <c r="AH525" s="796"/>
      <c r="AI525" s="796"/>
      <c r="AJ525" s="796"/>
      <c r="AK525" s="796"/>
      <c r="AL525" s="796"/>
      <c r="AM525" s="796"/>
      <c r="AN525" s="796"/>
      <c r="AO525" s="796"/>
      <c r="AP525" s="796"/>
      <c r="AQ525" s="796"/>
      <c r="AR525" s="796"/>
      <c r="AS525" s="796"/>
      <c r="AT525" s="796"/>
      <c r="AU525" s="796"/>
      <c r="AV525" s="796"/>
      <c r="AW525" s="796"/>
      <c r="AX525" s="796"/>
      <c r="AY525" s="796"/>
      <c r="AZ525" s="796"/>
      <c r="BA525" s="796"/>
      <c r="BB525" s="796"/>
      <c r="BC525" s="796"/>
      <c r="BD525" s="796"/>
      <c r="BE525" s="796"/>
      <c r="BF525" s="796"/>
      <c r="BG525" s="796"/>
      <c r="BH525" s="796"/>
      <c r="BI525" s="796"/>
      <c r="BJ525" s="796"/>
      <c r="BK525" s="796"/>
      <c r="BL525" s="796"/>
    </row>
    <row r="526" spans="1:64" ht="15" customHeight="1">
      <c r="A526" s="796" t="s">
        <v>1772</v>
      </c>
      <c r="B526" s="795" t="str">
        <f t="shared" si="122"/>
        <v>IV</v>
      </c>
      <c r="C526" s="796" t="s">
        <v>1773</v>
      </c>
      <c r="D526" s="795" t="str">
        <f t="shared" si="123"/>
        <v>I</v>
      </c>
      <c r="Q526" s="796" t="s">
        <v>1774</v>
      </c>
      <c r="R526" s="796" t="str">
        <f t="shared" si="124"/>
        <v>I</v>
      </c>
      <c r="S526" s="796" t="s">
        <v>1775</v>
      </c>
      <c r="T526" s="796" t="str">
        <f t="shared" si="125"/>
        <v>II</v>
      </c>
      <c r="AG526" s="796"/>
      <c r="AH526" s="796"/>
      <c r="AI526" s="796"/>
      <c r="AJ526" s="796"/>
      <c r="AK526" s="796"/>
      <c r="AL526" s="796"/>
      <c r="AM526" s="796"/>
      <c r="AN526" s="796"/>
      <c r="AO526" s="796"/>
      <c r="AP526" s="796"/>
      <c r="AQ526" s="796"/>
      <c r="AR526" s="796"/>
      <c r="AS526" s="796"/>
      <c r="AT526" s="796"/>
      <c r="AU526" s="796"/>
      <c r="AV526" s="796"/>
      <c r="AW526" s="796"/>
      <c r="AX526" s="796"/>
      <c r="AY526" s="796"/>
      <c r="AZ526" s="796"/>
      <c r="BA526" s="796"/>
      <c r="BB526" s="796"/>
      <c r="BC526" s="796"/>
      <c r="BD526" s="796"/>
      <c r="BE526" s="796"/>
      <c r="BF526" s="796"/>
      <c r="BG526" s="796"/>
      <c r="BH526" s="796"/>
      <c r="BI526" s="796"/>
      <c r="BJ526" s="796"/>
      <c r="BK526" s="796"/>
      <c r="BL526" s="796"/>
    </row>
    <row r="527" spans="1:64" ht="15" customHeight="1">
      <c r="A527" s="796" t="s">
        <v>1776</v>
      </c>
      <c r="B527" s="795" t="str">
        <f t="shared" si="122"/>
        <v>II</v>
      </c>
      <c r="C527" s="796" t="s">
        <v>1777</v>
      </c>
      <c r="D527" s="795" t="str">
        <f t="shared" si="123"/>
        <v>II</v>
      </c>
      <c r="Q527" s="796" t="s">
        <v>1778</v>
      </c>
      <c r="R527" s="796" t="str">
        <f t="shared" si="124"/>
        <v>I</v>
      </c>
      <c r="S527" s="796" t="s">
        <v>1779</v>
      </c>
      <c r="T527" s="796" t="str">
        <f t="shared" si="125"/>
        <v>II</v>
      </c>
      <c r="AG527" s="796"/>
      <c r="AH527" s="796"/>
      <c r="AI527" s="796"/>
      <c r="AJ527" s="796"/>
      <c r="AK527" s="796"/>
      <c r="AL527" s="796"/>
      <c r="AM527" s="796"/>
      <c r="AN527" s="796"/>
      <c r="AO527" s="796"/>
      <c r="AP527" s="796"/>
      <c r="AQ527" s="796"/>
      <c r="AR527" s="796"/>
      <c r="AS527" s="796"/>
      <c r="AT527" s="796"/>
      <c r="AU527" s="796"/>
      <c r="AV527" s="796"/>
      <c r="AW527" s="796"/>
      <c r="AX527" s="796"/>
      <c r="AY527" s="796"/>
      <c r="AZ527" s="796"/>
      <c r="BA527" s="796"/>
      <c r="BB527" s="796"/>
      <c r="BC527" s="796"/>
      <c r="BD527" s="796"/>
      <c r="BE527" s="796"/>
      <c r="BF527" s="796"/>
      <c r="BG527" s="796"/>
      <c r="BH527" s="796"/>
      <c r="BI527" s="796"/>
      <c r="BJ527" s="796"/>
      <c r="BK527" s="796"/>
      <c r="BL527" s="796"/>
    </row>
    <row r="528" spans="1:64" ht="15" customHeight="1">
      <c r="A528" s="796" t="s">
        <v>1780</v>
      </c>
      <c r="B528" s="795" t="str">
        <f t="shared" si="122"/>
        <v>IV</v>
      </c>
      <c r="C528" s="796" t="s">
        <v>1781</v>
      </c>
      <c r="D528" s="795" t="str">
        <f t="shared" si="123"/>
        <v>I</v>
      </c>
      <c r="Q528" s="796" t="s">
        <v>1782</v>
      </c>
      <c r="R528" s="796" t="str">
        <f t="shared" si="124"/>
        <v>II</v>
      </c>
      <c r="S528" s="796" t="s">
        <v>1783</v>
      </c>
      <c r="T528" s="796" t="str">
        <f t="shared" si="125"/>
        <v>III</v>
      </c>
      <c r="AG528" s="796"/>
      <c r="AH528" s="796"/>
      <c r="AI528" s="796"/>
      <c r="AJ528" s="796"/>
      <c r="AK528" s="796"/>
      <c r="AL528" s="796"/>
      <c r="AM528" s="796"/>
      <c r="AN528" s="796"/>
      <c r="AO528" s="796"/>
      <c r="AP528" s="796"/>
      <c r="AQ528" s="796"/>
      <c r="AR528" s="796"/>
      <c r="AS528" s="796"/>
      <c r="AT528" s="796"/>
      <c r="AU528" s="796"/>
      <c r="AV528" s="796"/>
      <c r="AW528" s="796"/>
      <c r="AX528" s="796"/>
      <c r="AY528" s="796"/>
      <c r="AZ528" s="796"/>
      <c r="BA528" s="796"/>
      <c r="BB528" s="796"/>
      <c r="BC528" s="796"/>
      <c r="BD528" s="796"/>
      <c r="BE528" s="796"/>
      <c r="BF528" s="796"/>
      <c r="BG528" s="796"/>
      <c r="BH528" s="796"/>
      <c r="BI528" s="796"/>
      <c r="BJ528" s="796"/>
      <c r="BK528" s="796"/>
      <c r="BL528" s="796"/>
    </row>
    <row r="529" spans="1:64" ht="15" customHeight="1">
      <c r="A529" s="796" t="s">
        <v>1784</v>
      </c>
      <c r="B529" s="795" t="str">
        <f t="shared" si="122"/>
        <v>II</v>
      </c>
      <c r="C529" s="796" t="s">
        <v>1785</v>
      </c>
      <c r="D529" s="795" t="str">
        <f t="shared" si="123"/>
        <v>II</v>
      </c>
      <c r="Q529" s="796" t="s">
        <v>1786</v>
      </c>
      <c r="R529" s="796" t="str">
        <f t="shared" si="124"/>
        <v>II</v>
      </c>
      <c r="S529" s="796" t="s">
        <v>1787</v>
      </c>
      <c r="T529" s="796" t="str">
        <f t="shared" si="125"/>
        <v>II</v>
      </c>
      <c r="AG529" s="796"/>
      <c r="AH529" s="796"/>
      <c r="AI529" s="796"/>
      <c r="AJ529" s="796"/>
      <c r="AK529" s="796"/>
      <c r="AL529" s="796"/>
      <c r="AM529" s="796"/>
      <c r="AN529" s="796"/>
      <c r="AO529" s="796"/>
      <c r="AP529" s="796"/>
      <c r="AQ529" s="796"/>
      <c r="AR529" s="796"/>
      <c r="AS529" s="796"/>
      <c r="AT529" s="796"/>
      <c r="AU529" s="796"/>
      <c r="AV529" s="796"/>
      <c r="AW529" s="796"/>
      <c r="AX529" s="796"/>
      <c r="AY529" s="796"/>
      <c r="AZ529" s="796"/>
      <c r="BA529" s="796"/>
      <c r="BB529" s="796"/>
      <c r="BC529" s="796"/>
      <c r="BD529" s="796"/>
      <c r="BE529" s="796"/>
      <c r="BF529" s="796"/>
      <c r="BG529" s="796"/>
      <c r="BH529" s="796"/>
      <c r="BI529" s="796"/>
      <c r="BJ529" s="796"/>
      <c r="BK529" s="796"/>
      <c r="BL529" s="796"/>
    </row>
    <row r="530" spans="1:64" ht="15" customHeight="1">
      <c r="A530" s="796" t="s">
        <v>1788</v>
      </c>
      <c r="B530" s="795" t="str">
        <f t="shared" si="122"/>
        <v>III</v>
      </c>
      <c r="C530" s="796" t="s">
        <v>1789</v>
      </c>
      <c r="D530" s="795" t="str">
        <f t="shared" si="123"/>
        <v>II</v>
      </c>
      <c r="Q530" s="796" t="s">
        <v>1790</v>
      </c>
      <c r="R530" s="796" t="str">
        <f t="shared" si="124"/>
        <v>III</v>
      </c>
      <c r="S530" s="796" t="s">
        <v>1791</v>
      </c>
      <c r="T530" s="796" t="str">
        <f t="shared" si="125"/>
        <v>III</v>
      </c>
      <c r="AG530" s="796"/>
      <c r="AH530" s="796"/>
      <c r="AI530" s="796"/>
      <c r="AJ530" s="796"/>
      <c r="AK530" s="796"/>
      <c r="AL530" s="796"/>
      <c r="AM530" s="796"/>
      <c r="AN530" s="796"/>
      <c r="AO530" s="796"/>
      <c r="AP530" s="796"/>
      <c r="AQ530" s="796"/>
      <c r="AR530" s="796"/>
      <c r="AS530" s="796"/>
      <c r="AT530" s="796"/>
      <c r="AU530" s="796"/>
      <c r="AV530" s="796"/>
      <c r="AW530" s="796"/>
      <c r="AX530" s="796"/>
      <c r="AY530" s="796"/>
      <c r="AZ530" s="796"/>
      <c r="BA530" s="796"/>
      <c r="BB530" s="796"/>
      <c r="BC530" s="796"/>
      <c r="BD530" s="796"/>
      <c r="BE530" s="796"/>
      <c r="BF530" s="796"/>
      <c r="BG530" s="796"/>
      <c r="BH530" s="796"/>
      <c r="BI530" s="796"/>
      <c r="BJ530" s="796"/>
      <c r="BK530" s="796"/>
      <c r="BL530" s="796"/>
    </row>
    <row r="531" spans="1:64" ht="15" customHeight="1">
      <c r="A531" s="796" t="s">
        <v>1792</v>
      </c>
      <c r="B531" s="795" t="str">
        <f t="shared" si="122"/>
        <v>IV</v>
      </c>
      <c r="C531" s="796" t="s">
        <v>1793</v>
      </c>
      <c r="D531" s="795" t="str">
        <f t="shared" si="123"/>
        <v>III</v>
      </c>
      <c r="Q531" s="796" t="s">
        <v>1794</v>
      </c>
      <c r="R531" s="796" t="str">
        <f t="shared" si="124"/>
        <v>I</v>
      </c>
      <c r="S531" s="796" t="s">
        <v>1795</v>
      </c>
      <c r="T531" s="796" t="str">
        <f t="shared" si="125"/>
        <v>II</v>
      </c>
      <c r="AG531" s="796"/>
      <c r="AH531" s="796"/>
      <c r="AI531" s="796"/>
      <c r="AJ531" s="796"/>
      <c r="AK531" s="796"/>
      <c r="AL531" s="796"/>
      <c r="AM531" s="796"/>
      <c r="AN531" s="796"/>
      <c r="AO531" s="796"/>
      <c r="AP531" s="796"/>
      <c r="AQ531" s="796"/>
      <c r="AR531" s="796"/>
      <c r="AS531" s="796"/>
      <c r="AT531" s="796"/>
      <c r="AU531" s="796"/>
      <c r="AV531" s="796"/>
      <c r="AW531" s="796"/>
      <c r="AX531" s="796"/>
      <c r="AY531" s="796"/>
      <c r="AZ531" s="796"/>
      <c r="BA531" s="796"/>
      <c r="BB531" s="796"/>
      <c r="BC531" s="796"/>
      <c r="BD531" s="796"/>
      <c r="BE531" s="796"/>
      <c r="BF531" s="796"/>
      <c r="BG531" s="796"/>
      <c r="BH531" s="796"/>
      <c r="BI531" s="796"/>
      <c r="BJ531" s="796"/>
      <c r="BK531" s="796"/>
      <c r="BL531" s="796"/>
    </row>
    <row r="532" spans="1:64" ht="15" customHeight="1">
      <c r="A532" s="796" t="s">
        <v>1796</v>
      </c>
      <c r="B532" s="795" t="str">
        <f t="shared" si="122"/>
        <v>IV</v>
      </c>
      <c r="C532" s="796" t="s">
        <v>1797</v>
      </c>
      <c r="D532" s="795" t="str">
        <f t="shared" si="123"/>
        <v>IV</v>
      </c>
      <c r="Q532" s="796" t="s">
        <v>1798</v>
      </c>
      <c r="R532" s="796" t="str">
        <f t="shared" si="124"/>
        <v>II</v>
      </c>
      <c r="S532" s="796" t="s">
        <v>1799</v>
      </c>
      <c r="T532" s="796" t="str">
        <f t="shared" si="125"/>
        <v>III</v>
      </c>
      <c r="AG532" s="796"/>
      <c r="AH532" s="796"/>
      <c r="AI532" s="796"/>
      <c r="AJ532" s="796"/>
      <c r="AK532" s="796"/>
      <c r="AL532" s="796"/>
      <c r="AM532" s="796"/>
      <c r="AN532" s="796"/>
      <c r="AO532" s="796"/>
      <c r="AP532" s="796"/>
      <c r="AQ532" s="796"/>
      <c r="AR532" s="796"/>
      <c r="AS532" s="796"/>
      <c r="AT532" s="796"/>
      <c r="AU532" s="796"/>
      <c r="AV532" s="796"/>
      <c r="AW532" s="796"/>
      <c r="AX532" s="796"/>
      <c r="AY532" s="796"/>
      <c r="AZ532" s="796"/>
      <c r="BA532" s="796"/>
      <c r="BB532" s="796"/>
      <c r="BC532" s="796"/>
      <c r="BD532" s="796"/>
      <c r="BE532" s="796"/>
      <c r="BF532" s="796"/>
      <c r="BG532" s="796"/>
      <c r="BH532" s="796"/>
      <c r="BI532" s="796"/>
      <c r="BJ532" s="796"/>
      <c r="BK532" s="796"/>
      <c r="BL532" s="796"/>
    </row>
    <row r="533" spans="1:64" ht="15" customHeight="1">
      <c r="A533" s="796" t="s">
        <v>1800</v>
      </c>
      <c r="B533" s="795" t="str">
        <f t="shared" si="122"/>
        <v>III</v>
      </c>
      <c r="C533" s="796" t="s">
        <v>1801</v>
      </c>
      <c r="D533" s="795" t="str">
        <f t="shared" si="123"/>
        <v>V</v>
      </c>
      <c r="Q533" s="796" t="s">
        <v>1802</v>
      </c>
      <c r="R533" s="796" t="str">
        <f t="shared" si="124"/>
        <v>II</v>
      </c>
      <c r="S533" s="796" t="s">
        <v>1803</v>
      </c>
      <c r="T533" s="796" t="str">
        <f t="shared" si="125"/>
        <v>I</v>
      </c>
      <c r="AG533" s="796"/>
      <c r="AH533" s="796"/>
      <c r="AI533" s="796"/>
      <c r="AJ533" s="796"/>
      <c r="AK533" s="796"/>
      <c r="AL533" s="796"/>
      <c r="AM533" s="796"/>
      <c r="AN533" s="796"/>
      <c r="AO533" s="796"/>
      <c r="AP533" s="796"/>
      <c r="AQ533" s="796"/>
      <c r="AR533" s="796"/>
      <c r="AS533" s="796"/>
      <c r="AT533" s="796"/>
      <c r="AU533" s="796"/>
      <c r="AV533" s="796"/>
      <c r="AW533" s="796"/>
      <c r="AX533" s="796"/>
      <c r="AY533" s="796"/>
      <c r="AZ533" s="796"/>
      <c r="BA533" s="796"/>
      <c r="BB533" s="796"/>
      <c r="BC533" s="796"/>
      <c r="BD533" s="796"/>
      <c r="BE533" s="796"/>
      <c r="BF533" s="796"/>
      <c r="BG533" s="796"/>
      <c r="BH533" s="796"/>
      <c r="BI533" s="796"/>
      <c r="BJ533" s="796"/>
      <c r="BK533" s="796"/>
      <c r="BL533" s="796"/>
    </row>
    <row r="534" spans="1:64" ht="15" customHeight="1">
      <c r="A534" s="796" t="s">
        <v>1804</v>
      </c>
      <c r="B534" s="795" t="str">
        <f t="shared" si="122"/>
        <v>V</v>
      </c>
      <c r="C534" s="796" t="s">
        <v>1805</v>
      </c>
      <c r="D534" s="795" t="str">
        <f t="shared" si="123"/>
        <v>II</v>
      </c>
      <c r="Q534" s="796" t="s">
        <v>1806</v>
      </c>
      <c r="R534" s="796" t="str">
        <f t="shared" si="124"/>
        <v>I</v>
      </c>
      <c r="S534" s="796" t="s">
        <v>1807</v>
      </c>
      <c r="T534" s="796" t="str">
        <f t="shared" si="125"/>
        <v>II</v>
      </c>
      <c r="AG534" s="796"/>
      <c r="AH534" s="796"/>
      <c r="AI534" s="796"/>
      <c r="AJ534" s="796"/>
      <c r="AK534" s="796"/>
      <c r="AL534" s="796"/>
      <c r="AM534" s="796"/>
      <c r="AN534" s="796"/>
      <c r="AO534" s="796"/>
      <c r="AP534" s="796"/>
      <c r="AQ534" s="796"/>
      <c r="AR534" s="796"/>
      <c r="AS534" s="796"/>
      <c r="AT534" s="796"/>
      <c r="AU534" s="796"/>
      <c r="AV534" s="796"/>
      <c r="AW534" s="796"/>
      <c r="AX534" s="796"/>
      <c r="AY534" s="796"/>
      <c r="AZ534" s="796"/>
      <c r="BA534" s="796"/>
      <c r="BB534" s="796"/>
      <c r="BC534" s="796"/>
      <c r="BD534" s="796"/>
      <c r="BE534" s="796"/>
      <c r="BF534" s="796"/>
      <c r="BG534" s="796"/>
      <c r="BH534" s="796"/>
      <c r="BI534" s="796"/>
      <c r="BJ534" s="796"/>
      <c r="BK534" s="796"/>
      <c r="BL534" s="796"/>
    </row>
    <row r="535" spans="1:64" ht="15" customHeight="1">
      <c r="A535" s="796" t="s">
        <v>1808</v>
      </c>
      <c r="B535" s="795" t="str">
        <f t="shared" si="122"/>
        <v>II</v>
      </c>
      <c r="C535" s="796" t="s">
        <v>1809</v>
      </c>
      <c r="D535" s="795" t="str">
        <f t="shared" si="123"/>
        <v>I</v>
      </c>
      <c r="Q535" s="796" t="s">
        <v>1810</v>
      </c>
      <c r="R535" s="796" t="str">
        <f t="shared" si="124"/>
        <v>I</v>
      </c>
      <c r="S535" s="796" t="s">
        <v>1811</v>
      </c>
      <c r="T535" s="796" t="str">
        <f t="shared" si="125"/>
        <v>III</v>
      </c>
      <c r="AG535" s="796"/>
      <c r="AH535" s="796"/>
      <c r="AI535" s="796"/>
      <c r="AJ535" s="796"/>
      <c r="AK535" s="796"/>
      <c r="AL535" s="796"/>
      <c r="AM535" s="796"/>
      <c r="AN535" s="796"/>
      <c r="AO535" s="796"/>
      <c r="AP535" s="796"/>
      <c r="AQ535" s="796"/>
      <c r="AR535" s="796"/>
      <c r="AS535" s="796"/>
      <c r="AT535" s="796"/>
      <c r="AU535" s="796"/>
      <c r="AV535" s="796"/>
      <c r="AW535" s="796"/>
      <c r="AX535" s="796"/>
      <c r="AY535" s="796"/>
      <c r="AZ535" s="796"/>
      <c r="BA535" s="796"/>
      <c r="BB535" s="796"/>
      <c r="BC535" s="796"/>
      <c r="BD535" s="796"/>
      <c r="BE535" s="796"/>
      <c r="BF535" s="796"/>
      <c r="BG535" s="796"/>
      <c r="BH535" s="796"/>
      <c r="BI535" s="796"/>
      <c r="BJ535" s="796"/>
      <c r="BK535" s="796"/>
      <c r="BL535" s="796"/>
    </row>
    <row r="536" spans="1:64" ht="15" customHeight="1">
      <c r="A536" s="796" t="s">
        <v>1812</v>
      </c>
      <c r="B536" s="795" t="str">
        <f t="shared" si="122"/>
        <v>V</v>
      </c>
      <c r="C536" s="796" t="s">
        <v>1813</v>
      </c>
      <c r="D536" s="795" t="str">
        <f t="shared" si="123"/>
        <v>V</v>
      </c>
      <c r="Q536" s="796" t="s">
        <v>1814</v>
      </c>
      <c r="R536" s="796" t="str">
        <f t="shared" si="124"/>
        <v>I</v>
      </c>
      <c r="S536" s="796" t="s">
        <v>1815</v>
      </c>
      <c r="T536" s="796" t="str">
        <f t="shared" si="125"/>
        <v>V</v>
      </c>
      <c r="AG536" s="796"/>
      <c r="AH536" s="796"/>
      <c r="AI536" s="796"/>
      <c r="AJ536" s="796"/>
      <c r="AK536" s="796"/>
      <c r="AL536" s="796"/>
      <c r="AM536" s="796"/>
      <c r="AN536" s="796"/>
      <c r="AO536" s="796"/>
      <c r="AP536" s="796"/>
      <c r="AQ536" s="796"/>
      <c r="AR536" s="796"/>
      <c r="AS536" s="796"/>
      <c r="AT536" s="796"/>
      <c r="AU536" s="796"/>
      <c r="AV536" s="796"/>
      <c r="AW536" s="796"/>
      <c r="AX536" s="796"/>
      <c r="AY536" s="796"/>
      <c r="AZ536" s="796"/>
      <c r="BA536" s="796"/>
      <c r="BB536" s="796"/>
      <c r="BC536" s="796"/>
      <c r="BD536" s="796"/>
      <c r="BE536" s="796"/>
      <c r="BF536" s="796"/>
      <c r="BG536" s="796"/>
      <c r="BH536" s="796"/>
      <c r="BI536" s="796"/>
      <c r="BJ536" s="796"/>
      <c r="BK536" s="796"/>
      <c r="BL536" s="796"/>
    </row>
    <row r="537" spans="1:64" ht="15" customHeight="1">
      <c r="A537" s="796" t="s">
        <v>1816</v>
      </c>
      <c r="B537" s="795" t="str">
        <f t="shared" si="122"/>
        <v>III</v>
      </c>
      <c r="C537" s="796" t="s">
        <v>1817</v>
      </c>
      <c r="D537" s="795" t="str">
        <f t="shared" si="123"/>
        <v>II</v>
      </c>
      <c r="Q537" s="796" t="s">
        <v>1818</v>
      </c>
      <c r="R537" s="796" t="str">
        <f t="shared" si="124"/>
        <v>III</v>
      </c>
      <c r="S537" s="796" t="s">
        <v>1819</v>
      </c>
      <c r="T537" s="796" t="str">
        <f t="shared" si="125"/>
        <v>II</v>
      </c>
      <c r="AG537" s="796"/>
      <c r="AH537" s="796"/>
      <c r="AI537" s="796"/>
      <c r="AJ537" s="796"/>
      <c r="AK537" s="796"/>
      <c r="AL537" s="796"/>
      <c r="AM537" s="796"/>
      <c r="AN537" s="796"/>
      <c r="AO537" s="796"/>
      <c r="AP537" s="796"/>
      <c r="AQ537" s="796"/>
      <c r="AR537" s="796"/>
      <c r="AS537" s="796"/>
      <c r="AT537" s="796"/>
      <c r="AU537" s="796"/>
      <c r="AV537" s="796"/>
      <c r="AW537" s="796"/>
      <c r="AX537" s="796"/>
      <c r="AY537" s="796"/>
      <c r="AZ537" s="796"/>
      <c r="BA537" s="796"/>
      <c r="BB537" s="796"/>
      <c r="BC537" s="796"/>
      <c r="BD537" s="796"/>
      <c r="BE537" s="796"/>
      <c r="BF537" s="796"/>
      <c r="BG537" s="796"/>
      <c r="BH537" s="796"/>
      <c r="BI537" s="796"/>
      <c r="BJ537" s="796"/>
      <c r="BK537" s="796"/>
      <c r="BL537" s="796"/>
    </row>
    <row r="538" spans="1:64" ht="15" customHeight="1">
      <c r="A538" s="796" t="s">
        <v>1820</v>
      </c>
      <c r="B538" s="795" t="str">
        <f t="shared" si="122"/>
        <v>VI</v>
      </c>
      <c r="C538" s="796" t="s">
        <v>1821</v>
      </c>
      <c r="D538" s="795" t="str">
        <f t="shared" si="123"/>
        <v>I</v>
      </c>
      <c r="Q538" s="796" t="s">
        <v>1822</v>
      </c>
      <c r="R538" s="796" t="str">
        <f t="shared" si="124"/>
        <v>II</v>
      </c>
      <c r="S538" s="796" t="s">
        <v>1823</v>
      </c>
      <c r="T538" s="796" t="str">
        <f t="shared" si="125"/>
        <v>II</v>
      </c>
      <c r="AG538" s="796"/>
      <c r="AH538" s="796"/>
      <c r="AI538" s="796"/>
      <c r="AJ538" s="796"/>
      <c r="AK538" s="796"/>
      <c r="AL538" s="796"/>
      <c r="AM538" s="796"/>
      <c r="AN538" s="796"/>
      <c r="AO538" s="796"/>
      <c r="AP538" s="796"/>
      <c r="AQ538" s="796"/>
      <c r="AR538" s="796"/>
      <c r="AS538" s="796"/>
      <c r="AT538" s="796"/>
      <c r="AU538" s="796"/>
      <c r="AV538" s="796"/>
      <c r="AW538" s="796"/>
      <c r="AX538" s="796"/>
      <c r="AY538" s="796"/>
      <c r="AZ538" s="796"/>
      <c r="BA538" s="796"/>
      <c r="BB538" s="796"/>
      <c r="BC538" s="796"/>
      <c r="BD538" s="796"/>
      <c r="BE538" s="796"/>
      <c r="BF538" s="796"/>
      <c r="BG538" s="796"/>
      <c r="BH538" s="796"/>
      <c r="BI538" s="796"/>
      <c r="BJ538" s="796"/>
      <c r="BK538" s="796"/>
      <c r="BL538" s="796"/>
    </row>
    <row r="539" spans="1:64" ht="15" customHeight="1">
      <c r="A539" s="796" t="s">
        <v>1824</v>
      </c>
      <c r="B539" s="795" t="str">
        <f t="shared" si="122"/>
        <v>IV</v>
      </c>
      <c r="C539" s="796" t="s">
        <v>1825</v>
      </c>
      <c r="D539" s="795" t="str">
        <f t="shared" si="123"/>
        <v>VII</v>
      </c>
      <c r="Q539" s="796" t="s">
        <v>1826</v>
      </c>
      <c r="R539" s="796" t="str">
        <f t="shared" si="124"/>
        <v>II</v>
      </c>
      <c r="S539" s="796" t="s">
        <v>1827</v>
      </c>
      <c r="T539" s="796" t="str">
        <f t="shared" si="125"/>
        <v>I</v>
      </c>
      <c r="AG539" s="796"/>
      <c r="AH539" s="796"/>
      <c r="AI539" s="796"/>
      <c r="AJ539" s="796"/>
      <c r="AK539" s="796"/>
      <c r="AL539" s="796"/>
      <c r="AM539" s="796"/>
      <c r="AN539" s="796"/>
      <c r="AO539" s="796"/>
      <c r="AP539" s="796"/>
      <c r="AQ539" s="796"/>
      <c r="AR539" s="796"/>
      <c r="AS539" s="796"/>
      <c r="AT539" s="796"/>
      <c r="AU539" s="796"/>
      <c r="AV539" s="796"/>
      <c r="AW539" s="796"/>
      <c r="AX539" s="796"/>
      <c r="AY539" s="796"/>
      <c r="AZ539" s="796"/>
      <c r="BA539" s="796"/>
      <c r="BB539" s="796"/>
      <c r="BC539" s="796"/>
      <c r="BD539" s="796"/>
      <c r="BE539" s="796"/>
      <c r="BF539" s="796"/>
      <c r="BG539" s="796"/>
      <c r="BH539" s="796"/>
      <c r="BI539" s="796"/>
      <c r="BJ539" s="796"/>
      <c r="BK539" s="796"/>
      <c r="BL539" s="796"/>
    </row>
    <row r="540" spans="1:64" ht="15" customHeight="1">
      <c r="A540" s="796" t="s">
        <v>1828</v>
      </c>
      <c r="B540" s="795" t="str">
        <f t="shared" si="122"/>
        <v>I</v>
      </c>
      <c r="C540" s="796" t="s">
        <v>1829</v>
      </c>
      <c r="D540" s="795" t="str">
        <f t="shared" si="123"/>
        <v>V</v>
      </c>
      <c r="Q540" s="796" t="s">
        <v>1830</v>
      </c>
      <c r="R540" s="796" t="str">
        <f t="shared" si="124"/>
        <v>I</v>
      </c>
      <c r="S540" s="796" t="s">
        <v>1831</v>
      </c>
      <c r="T540" s="796" t="str">
        <f t="shared" si="125"/>
        <v>I</v>
      </c>
      <c r="AG540" s="796"/>
      <c r="AH540" s="796"/>
      <c r="AI540" s="796"/>
      <c r="AJ540" s="796"/>
      <c r="AK540" s="796"/>
      <c r="AL540" s="796"/>
      <c r="AM540" s="796"/>
      <c r="AN540" s="796"/>
      <c r="AO540" s="796"/>
      <c r="AP540" s="796"/>
      <c r="AQ540" s="796"/>
      <c r="AR540" s="796"/>
      <c r="AS540" s="796"/>
      <c r="AT540" s="796"/>
      <c r="AU540" s="796"/>
      <c r="AV540" s="796"/>
      <c r="AW540" s="796"/>
      <c r="AX540" s="796"/>
      <c r="AY540" s="796"/>
      <c r="AZ540" s="796"/>
      <c r="BA540" s="796"/>
      <c r="BB540" s="796"/>
      <c r="BC540" s="796"/>
      <c r="BD540" s="796"/>
      <c r="BE540" s="796"/>
      <c r="BF540" s="796"/>
      <c r="BG540" s="796"/>
      <c r="BH540" s="796"/>
      <c r="BI540" s="796"/>
      <c r="BJ540" s="796"/>
      <c r="BK540" s="796"/>
      <c r="BL540" s="796"/>
    </row>
    <row r="541" spans="1:64" ht="15" customHeight="1">
      <c r="A541" s="796" t="s">
        <v>1832</v>
      </c>
      <c r="B541" s="795" t="str">
        <f t="shared" si="122"/>
        <v>IV</v>
      </c>
      <c r="C541" s="796" t="s">
        <v>1833</v>
      </c>
      <c r="D541" s="795" t="str">
        <f t="shared" si="123"/>
        <v>VII</v>
      </c>
      <c r="Q541" s="796" t="s">
        <v>1834</v>
      </c>
      <c r="R541" s="796" t="str">
        <f t="shared" si="124"/>
        <v>II</v>
      </c>
      <c r="S541" s="796" t="s">
        <v>1835</v>
      </c>
      <c r="T541" s="796" t="str">
        <f t="shared" si="125"/>
        <v>IV</v>
      </c>
      <c r="AG541" s="796"/>
      <c r="AH541" s="796"/>
      <c r="AI541" s="796"/>
      <c r="AJ541" s="796"/>
      <c r="AK541" s="796"/>
      <c r="AL541" s="796"/>
      <c r="AM541" s="796"/>
      <c r="AN541" s="796"/>
      <c r="AO541" s="796"/>
      <c r="AP541" s="796"/>
      <c r="AQ541" s="796"/>
      <c r="AR541" s="796"/>
      <c r="AS541" s="796"/>
      <c r="AT541" s="796"/>
      <c r="AU541" s="796"/>
      <c r="AV541" s="796"/>
      <c r="AW541" s="796"/>
      <c r="AX541" s="796"/>
      <c r="AY541" s="796"/>
      <c r="AZ541" s="796"/>
      <c r="BA541" s="796"/>
      <c r="BB541" s="796"/>
      <c r="BC541" s="796"/>
      <c r="BD541" s="796"/>
      <c r="BE541" s="796"/>
      <c r="BF541" s="796"/>
      <c r="BG541" s="796"/>
      <c r="BH541" s="796"/>
      <c r="BI541" s="796"/>
      <c r="BJ541" s="796"/>
      <c r="BK541" s="796"/>
      <c r="BL541" s="796"/>
    </row>
    <row r="542" spans="1:64" ht="15" customHeight="1">
      <c r="A542" s="796" t="s">
        <v>1836</v>
      </c>
      <c r="B542" s="795" t="str">
        <f t="shared" si="122"/>
        <v>IV</v>
      </c>
      <c r="C542" s="796" t="s">
        <v>1837</v>
      </c>
      <c r="D542" s="795" t="str">
        <f t="shared" si="123"/>
        <v>III</v>
      </c>
      <c r="Q542" s="796" t="s">
        <v>1838</v>
      </c>
      <c r="R542" s="796" t="str">
        <f t="shared" si="124"/>
        <v>II</v>
      </c>
      <c r="S542" s="796" t="s">
        <v>1839</v>
      </c>
      <c r="T542" s="796" t="str">
        <f t="shared" si="125"/>
        <v>II</v>
      </c>
      <c r="AG542" s="796"/>
      <c r="AH542" s="796"/>
      <c r="AI542" s="796"/>
      <c r="AJ542" s="796"/>
      <c r="AK542" s="796"/>
      <c r="AL542" s="796"/>
      <c r="AM542" s="796"/>
      <c r="AN542" s="796"/>
      <c r="AO542" s="796"/>
      <c r="AP542" s="796"/>
      <c r="AQ542" s="796"/>
      <c r="AR542" s="796"/>
      <c r="AS542" s="796"/>
      <c r="AT542" s="796"/>
      <c r="AU542" s="796"/>
      <c r="AV542" s="796"/>
      <c r="AW542" s="796"/>
      <c r="AX542" s="796"/>
      <c r="AY542" s="796"/>
      <c r="AZ542" s="796"/>
      <c r="BA542" s="796"/>
      <c r="BB542" s="796"/>
      <c r="BC542" s="796"/>
      <c r="BD542" s="796"/>
      <c r="BE542" s="796"/>
      <c r="BF542" s="796"/>
      <c r="BG542" s="796"/>
      <c r="BH542" s="796"/>
      <c r="BI542" s="796"/>
      <c r="BJ542" s="796"/>
      <c r="BK542" s="796"/>
      <c r="BL542" s="796"/>
    </row>
    <row r="543" spans="1:64" ht="15" customHeight="1">
      <c r="A543" s="796" t="s">
        <v>1840</v>
      </c>
      <c r="B543" s="795" t="str">
        <f t="shared" si="122"/>
        <v>I</v>
      </c>
      <c r="C543" s="796" t="s">
        <v>1841</v>
      </c>
      <c r="D543" s="795" t="str">
        <f t="shared" si="123"/>
        <v>VII</v>
      </c>
      <c r="Q543" s="796" t="s">
        <v>1842</v>
      </c>
      <c r="R543" s="796" t="str">
        <f t="shared" si="124"/>
        <v>III</v>
      </c>
      <c r="S543" s="796" t="s">
        <v>1843</v>
      </c>
      <c r="T543" s="796" t="str">
        <f t="shared" si="125"/>
        <v>III</v>
      </c>
      <c r="AG543" s="796"/>
      <c r="AH543" s="796"/>
      <c r="AI543" s="796"/>
      <c r="AJ543" s="796"/>
      <c r="AK543" s="796"/>
      <c r="AL543" s="796"/>
      <c r="AM543" s="796"/>
      <c r="AN543" s="796"/>
      <c r="AO543" s="796"/>
      <c r="AP543" s="796"/>
      <c r="AQ543" s="796"/>
      <c r="AR543" s="796"/>
      <c r="AS543" s="796"/>
      <c r="AT543" s="796"/>
      <c r="AU543" s="796"/>
      <c r="AV543" s="796"/>
      <c r="AW543" s="796"/>
      <c r="AX543" s="796"/>
      <c r="AY543" s="796"/>
      <c r="AZ543" s="796"/>
      <c r="BA543" s="796"/>
      <c r="BB543" s="796"/>
      <c r="BC543" s="796"/>
      <c r="BD543" s="796"/>
      <c r="BE543" s="796"/>
      <c r="BF543" s="796"/>
      <c r="BG543" s="796"/>
      <c r="BH543" s="796"/>
      <c r="BI543" s="796"/>
      <c r="BJ543" s="796"/>
      <c r="BK543" s="796"/>
      <c r="BL543" s="796"/>
    </row>
    <row r="544" spans="1:64" ht="15" customHeight="1">
      <c r="A544" s="796" t="s">
        <v>1844</v>
      </c>
      <c r="B544" s="795" t="str">
        <f t="shared" si="122"/>
        <v>IV</v>
      </c>
      <c r="C544" s="796" t="s">
        <v>1845</v>
      </c>
      <c r="D544" s="795" t="str">
        <f t="shared" si="123"/>
        <v>III</v>
      </c>
      <c r="Q544" s="796" t="s">
        <v>1846</v>
      </c>
      <c r="R544" s="796" t="str">
        <f t="shared" si="124"/>
        <v>I</v>
      </c>
      <c r="S544" s="796" t="s">
        <v>1847</v>
      </c>
      <c r="T544" s="796" t="str">
        <f t="shared" si="125"/>
        <v>I</v>
      </c>
      <c r="AG544" s="796"/>
      <c r="AH544" s="796"/>
      <c r="AI544" s="796"/>
      <c r="AJ544" s="796"/>
      <c r="AK544" s="796"/>
      <c r="AL544" s="796"/>
      <c r="AM544" s="796"/>
      <c r="AN544" s="796"/>
      <c r="AO544" s="796"/>
      <c r="AP544" s="796"/>
      <c r="AQ544" s="796"/>
      <c r="AR544" s="796"/>
      <c r="AS544" s="796"/>
      <c r="AT544" s="796"/>
      <c r="AU544" s="796"/>
      <c r="AV544" s="796"/>
      <c r="AW544" s="796"/>
      <c r="AX544" s="796"/>
      <c r="AY544" s="796"/>
      <c r="AZ544" s="796"/>
      <c r="BA544" s="796"/>
      <c r="BB544" s="796"/>
      <c r="BC544" s="796"/>
      <c r="BD544" s="796"/>
      <c r="BE544" s="796"/>
      <c r="BF544" s="796"/>
      <c r="BG544" s="796"/>
      <c r="BH544" s="796"/>
      <c r="BI544" s="796"/>
      <c r="BJ544" s="796"/>
      <c r="BK544" s="796"/>
      <c r="BL544" s="796"/>
    </row>
    <row r="545" spans="1:64" ht="15" customHeight="1">
      <c r="A545" s="796" t="s">
        <v>1848</v>
      </c>
      <c r="B545" s="795" t="str">
        <f t="shared" si="122"/>
        <v>IV</v>
      </c>
      <c r="C545" s="796" t="s">
        <v>1849</v>
      </c>
      <c r="D545" s="795" t="str">
        <f t="shared" si="123"/>
        <v>IV</v>
      </c>
      <c r="Q545" s="796" t="s">
        <v>1850</v>
      </c>
      <c r="R545" s="796" t="str">
        <f t="shared" si="124"/>
        <v>I</v>
      </c>
      <c r="S545" s="796" t="s">
        <v>1851</v>
      </c>
      <c r="T545" s="796" t="str">
        <f t="shared" si="125"/>
        <v>III</v>
      </c>
      <c r="AG545" s="796"/>
      <c r="AH545" s="796"/>
      <c r="AI545" s="796"/>
      <c r="AJ545" s="796"/>
      <c r="AK545" s="796"/>
      <c r="AL545" s="796"/>
      <c r="AM545" s="796"/>
      <c r="AN545" s="796"/>
      <c r="AO545" s="796"/>
      <c r="AP545" s="796"/>
      <c r="AQ545" s="796"/>
      <c r="AR545" s="796"/>
      <c r="AS545" s="796"/>
      <c r="AT545" s="796"/>
      <c r="AU545" s="796"/>
      <c r="AV545" s="796"/>
      <c r="AW545" s="796"/>
      <c r="AX545" s="796"/>
      <c r="AY545" s="796"/>
      <c r="AZ545" s="796"/>
      <c r="BA545" s="796"/>
      <c r="BB545" s="796"/>
      <c r="BC545" s="796"/>
      <c r="BD545" s="796"/>
      <c r="BE545" s="796"/>
      <c r="BF545" s="796"/>
      <c r="BG545" s="796"/>
      <c r="BH545" s="796"/>
      <c r="BI545" s="796"/>
      <c r="BJ545" s="796"/>
      <c r="BK545" s="796"/>
      <c r="BL545" s="796"/>
    </row>
    <row r="546" spans="1:64" ht="15" customHeight="1">
      <c r="A546" s="796" t="s">
        <v>1852</v>
      </c>
      <c r="B546" s="795" t="str">
        <f t="shared" si="122"/>
        <v>III</v>
      </c>
      <c r="C546" s="796" t="s">
        <v>1853</v>
      </c>
      <c r="D546" s="795" t="str">
        <f t="shared" si="123"/>
        <v>I</v>
      </c>
      <c r="Q546" s="796" t="s">
        <v>1854</v>
      </c>
      <c r="R546" s="796" t="str">
        <f t="shared" si="124"/>
        <v>II</v>
      </c>
      <c r="S546" s="796" t="s">
        <v>1855</v>
      </c>
      <c r="T546" s="796" t="str">
        <f t="shared" si="125"/>
        <v>V</v>
      </c>
      <c r="AG546" s="796"/>
      <c r="AH546" s="796"/>
      <c r="AI546" s="796"/>
      <c r="AJ546" s="796"/>
      <c r="AK546" s="796"/>
      <c r="AL546" s="796"/>
      <c r="AM546" s="796"/>
      <c r="AN546" s="796"/>
      <c r="AO546" s="796"/>
      <c r="AP546" s="796"/>
      <c r="AQ546" s="796"/>
      <c r="AR546" s="796"/>
      <c r="AS546" s="796"/>
      <c r="AT546" s="796"/>
      <c r="AU546" s="796"/>
      <c r="AV546" s="796"/>
      <c r="AW546" s="796"/>
      <c r="AX546" s="796"/>
      <c r="AY546" s="796"/>
      <c r="AZ546" s="796"/>
      <c r="BA546" s="796"/>
      <c r="BB546" s="796"/>
      <c r="BC546" s="796"/>
      <c r="BD546" s="796"/>
      <c r="BE546" s="796"/>
      <c r="BF546" s="796"/>
      <c r="BG546" s="796"/>
      <c r="BH546" s="796"/>
      <c r="BI546" s="796"/>
      <c r="BJ546" s="796"/>
      <c r="BK546" s="796"/>
      <c r="BL546" s="796"/>
    </row>
    <row r="547" spans="1:64" ht="15" customHeight="1">
      <c r="A547" s="796" t="s">
        <v>1856</v>
      </c>
      <c r="B547" s="795" t="str">
        <f t="shared" si="122"/>
        <v>II</v>
      </c>
      <c r="C547" s="796" t="s">
        <v>1857</v>
      </c>
      <c r="D547" s="795" t="str">
        <f t="shared" si="123"/>
        <v>II</v>
      </c>
      <c r="Q547" s="796" t="s">
        <v>1858</v>
      </c>
      <c r="R547" s="796" t="str">
        <f t="shared" si="124"/>
        <v>I</v>
      </c>
      <c r="S547" s="796" t="s">
        <v>1859</v>
      </c>
      <c r="T547" s="796" t="str">
        <f t="shared" si="125"/>
        <v>I</v>
      </c>
      <c r="AG547" s="796"/>
      <c r="AH547" s="796"/>
      <c r="AI547" s="796"/>
      <c r="AJ547" s="796"/>
      <c r="AK547" s="796"/>
      <c r="AL547" s="796"/>
      <c r="AM547" s="796"/>
      <c r="AN547" s="796"/>
      <c r="AO547" s="796"/>
      <c r="AP547" s="796"/>
      <c r="AQ547" s="796"/>
      <c r="AR547" s="796"/>
      <c r="AS547" s="796"/>
      <c r="AT547" s="796"/>
      <c r="AU547" s="796"/>
      <c r="AV547" s="796"/>
      <c r="AW547" s="796"/>
      <c r="AX547" s="796"/>
      <c r="AY547" s="796"/>
      <c r="AZ547" s="796"/>
      <c r="BA547" s="796"/>
      <c r="BB547" s="796"/>
      <c r="BC547" s="796"/>
      <c r="BD547" s="796"/>
      <c r="BE547" s="796"/>
      <c r="BF547" s="796"/>
      <c r="BG547" s="796"/>
      <c r="BH547" s="796"/>
      <c r="BI547" s="796"/>
      <c r="BJ547" s="796"/>
      <c r="BK547" s="796"/>
      <c r="BL547" s="796"/>
    </row>
    <row r="548" spans="1:64" ht="15" customHeight="1">
      <c r="A548" s="796" t="s">
        <v>1860</v>
      </c>
      <c r="B548" s="795" t="str">
        <f t="shared" si="122"/>
        <v>V</v>
      </c>
      <c r="C548" s="796" t="s">
        <v>1861</v>
      </c>
      <c r="D548" s="795" t="str">
        <f t="shared" si="123"/>
        <v>I</v>
      </c>
      <c r="Q548" s="796" t="s">
        <v>1862</v>
      </c>
      <c r="R548" s="796" t="str">
        <f t="shared" si="124"/>
        <v>I</v>
      </c>
      <c r="S548" s="796" t="s">
        <v>1863</v>
      </c>
      <c r="T548" s="796" t="str">
        <f t="shared" si="125"/>
        <v>I</v>
      </c>
      <c r="AG548" s="796"/>
      <c r="AH548" s="796"/>
      <c r="AI548" s="796"/>
      <c r="AJ548" s="796"/>
      <c r="AK548" s="796"/>
      <c r="AL548" s="796"/>
      <c r="AM548" s="796"/>
      <c r="AN548" s="796"/>
      <c r="AO548" s="796"/>
      <c r="AP548" s="796"/>
      <c r="AQ548" s="796"/>
      <c r="AR548" s="796"/>
      <c r="AS548" s="796"/>
      <c r="AT548" s="796"/>
      <c r="AU548" s="796"/>
      <c r="AV548" s="796"/>
      <c r="AW548" s="796"/>
      <c r="AX548" s="796"/>
      <c r="AY548" s="796"/>
      <c r="AZ548" s="796"/>
      <c r="BA548" s="796"/>
      <c r="BB548" s="796"/>
      <c r="BC548" s="796"/>
      <c r="BD548" s="796"/>
      <c r="BE548" s="796"/>
      <c r="BF548" s="796"/>
      <c r="BG548" s="796"/>
      <c r="BH548" s="796"/>
      <c r="BI548" s="796"/>
      <c r="BJ548" s="796"/>
      <c r="BK548" s="796"/>
      <c r="BL548" s="796"/>
    </row>
    <row r="549" spans="1:64" ht="15" customHeight="1">
      <c r="A549" s="796" t="s">
        <v>1864</v>
      </c>
      <c r="B549" s="795" t="str">
        <f t="shared" si="122"/>
        <v>IV</v>
      </c>
      <c r="C549" s="796" t="s">
        <v>1865</v>
      </c>
      <c r="D549" s="795" t="str">
        <f t="shared" si="123"/>
        <v>IV</v>
      </c>
      <c r="Q549" s="796" t="s">
        <v>1866</v>
      </c>
      <c r="R549" s="796" t="str">
        <f t="shared" si="124"/>
        <v>I</v>
      </c>
      <c r="S549" s="796" t="s">
        <v>1867</v>
      </c>
      <c r="T549" s="796" t="str">
        <f t="shared" si="125"/>
        <v>II</v>
      </c>
      <c r="AG549" s="796"/>
      <c r="AH549" s="796"/>
      <c r="AI549" s="796"/>
      <c r="AJ549" s="796"/>
      <c r="AK549" s="796"/>
      <c r="AL549" s="796"/>
      <c r="AM549" s="796"/>
      <c r="AN549" s="796"/>
      <c r="AO549" s="796"/>
      <c r="AP549" s="796"/>
      <c r="AQ549" s="796"/>
      <c r="AR549" s="796"/>
      <c r="AS549" s="796"/>
      <c r="AT549" s="796"/>
      <c r="AU549" s="796"/>
      <c r="AV549" s="796"/>
      <c r="AW549" s="796"/>
      <c r="AX549" s="796"/>
      <c r="AY549" s="796"/>
      <c r="AZ549" s="796"/>
      <c r="BA549" s="796"/>
      <c r="BB549" s="796"/>
      <c r="BC549" s="796"/>
      <c r="BD549" s="796"/>
      <c r="BE549" s="796"/>
      <c r="BF549" s="796"/>
      <c r="BG549" s="796"/>
      <c r="BH549" s="796"/>
      <c r="BI549" s="796"/>
      <c r="BJ549" s="796"/>
      <c r="BK549" s="796"/>
      <c r="BL549" s="796"/>
    </row>
    <row r="550" spans="1:64" ht="15" customHeight="1">
      <c r="A550" s="796" t="s">
        <v>1868</v>
      </c>
      <c r="B550" s="795" t="str">
        <f t="shared" si="122"/>
        <v>III</v>
      </c>
      <c r="C550" s="796" t="s">
        <v>1869</v>
      </c>
      <c r="D550" s="795" t="str">
        <f t="shared" si="123"/>
        <v>IV</v>
      </c>
      <c r="Q550" s="796" t="s">
        <v>1870</v>
      </c>
      <c r="R550" s="796" t="str">
        <f t="shared" si="124"/>
        <v>III</v>
      </c>
      <c r="S550" s="796" t="s">
        <v>1871</v>
      </c>
      <c r="T550" s="796" t="str">
        <f t="shared" si="125"/>
        <v>IV</v>
      </c>
      <c r="AG550" s="796"/>
      <c r="AH550" s="796"/>
      <c r="AI550" s="796"/>
      <c r="AJ550" s="796"/>
      <c r="AK550" s="796"/>
      <c r="AL550" s="796"/>
      <c r="AM550" s="796"/>
      <c r="AN550" s="796"/>
      <c r="AO550" s="796"/>
      <c r="AP550" s="796"/>
      <c r="AQ550" s="796"/>
      <c r="AR550" s="796"/>
      <c r="AS550" s="796"/>
      <c r="AT550" s="796"/>
      <c r="AU550" s="796"/>
      <c r="AV550" s="796"/>
      <c r="AW550" s="796"/>
      <c r="AX550" s="796"/>
      <c r="AY550" s="796"/>
      <c r="AZ550" s="796"/>
      <c r="BA550" s="796"/>
      <c r="BB550" s="796"/>
      <c r="BC550" s="796"/>
      <c r="BD550" s="796"/>
      <c r="BE550" s="796"/>
      <c r="BF550" s="796"/>
      <c r="BG550" s="796"/>
      <c r="BH550" s="796"/>
      <c r="BI550" s="796"/>
      <c r="BJ550" s="796"/>
      <c r="BK550" s="796"/>
      <c r="BL550" s="796"/>
    </row>
    <row r="551" spans="1:64" ht="15" customHeight="1">
      <c r="A551" s="796" t="s">
        <v>1872</v>
      </c>
      <c r="B551" s="795" t="str">
        <f t="shared" si="122"/>
        <v>IV</v>
      </c>
      <c r="C551" s="796" t="s">
        <v>1873</v>
      </c>
      <c r="D551" s="795" t="str">
        <f t="shared" si="123"/>
        <v>II</v>
      </c>
      <c r="Q551" s="796" t="s">
        <v>1874</v>
      </c>
      <c r="R551" s="796" t="str">
        <f t="shared" si="124"/>
        <v>II</v>
      </c>
      <c r="S551" s="796" t="s">
        <v>1875</v>
      </c>
      <c r="T551" s="796" t="str">
        <f t="shared" si="125"/>
        <v>V</v>
      </c>
      <c r="AG551" s="796"/>
      <c r="AH551" s="796"/>
      <c r="AI551" s="796"/>
      <c r="AJ551" s="796"/>
      <c r="AK551" s="796"/>
      <c r="AL551" s="796"/>
      <c r="AM551" s="796"/>
      <c r="AN551" s="796"/>
      <c r="AO551" s="796"/>
      <c r="AP551" s="796"/>
      <c r="AQ551" s="796"/>
      <c r="AR551" s="796"/>
      <c r="AS551" s="796"/>
      <c r="AT551" s="796"/>
      <c r="AU551" s="796"/>
      <c r="AV551" s="796"/>
      <c r="AW551" s="796"/>
      <c r="AX551" s="796"/>
      <c r="AY551" s="796"/>
      <c r="AZ551" s="796"/>
      <c r="BA551" s="796"/>
      <c r="BB551" s="796"/>
      <c r="BC551" s="796"/>
      <c r="BD551" s="796"/>
      <c r="BE551" s="796"/>
      <c r="BF551" s="796"/>
      <c r="BG551" s="796"/>
      <c r="BH551" s="796"/>
      <c r="BI551" s="796"/>
      <c r="BJ551" s="796"/>
      <c r="BK551" s="796"/>
      <c r="BL551" s="796"/>
    </row>
    <row r="552" spans="1:64" ht="15" customHeight="1">
      <c r="A552" s="796" t="s">
        <v>1876</v>
      </c>
      <c r="B552" s="795" t="str">
        <f t="shared" si="122"/>
        <v>II</v>
      </c>
      <c r="C552" s="796" t="s">
        <v>1877</v>
      </c>
      <c r="D552" s="795" t="str">
        <f t="shared" si="123"/>
        <v>V</v>
      </c>
      <c r="Q552" s="796" t="s">
        <v>1878</v>
      </c>
      <c r="R552" s="796" t="str">
        <f t="shared" si="124"/>
        <v>I</v>
      </c>
      <c r="S552" s="796" t="s">
        <v>1879</v>
      </c>
      <c r="T552" s="796" t="str">
        <f t="shared" si="125"/>
        <v>II</v>
      </c>
      <c r="AG552" s="796"/>
      <c r="AH552" s="796"/>
      <c r="AI552" s="796"/>
      <c r="AJ552" s="796"/>
      <c r="AK552" s="796"/>
      <c r="AL552" s="796"/>
      <c r="AM552" s="796"/>
      <c r="AN552" s="796"/>
      <c r="AO552" s="796"/>
      <c r="AP552" s="796"/>
      <c r="AQ552" s="796"/>
      <c r="AR552" s="796"/>
      <c r="AS552" s="796"/>
      <c r="AT552" s="796"/>
      <c r="AU552" s="796"/>
      <c r="AV552" s="796"/>
      <c r="AW552" s="796"/>
      <c r="AX552" s="796"/>
      <c r="AY552" s="796"/>
      <c r="AZ552" s="796"/>
      <c r="BA552" s="796"/>
      <c r="BB552" s="796"/>
      <c r="BC552" s="796"/>
      <c r="BD552" s="796"/>
      <c r="BE552" s="796"/>
      <c r="BF552" s="796"/>
      <c r="BG552" s="796"/>
      <c r="BH552" s="796"/>
      <c r="BI552" s="796"/>
      <c r="BJ552" s="796"/>
      <c r="BK552" s="796"/>
      <c r="BL552" s="796"/>
    </row>
    <row r="553" spans="1:64" ht="15" customHeight="1">
      <c r="A553" s="796" t="s">
        <v>1880</v>
      </c>
      <c r="B553" s="795" t="str">
        <f t="shared" si="122"/>
        <v>III</v>
      </c>
      <c r="C553" s="796" t="s">
        <v>1881</v>
      </c>
      <c r="D553" s="795" t="str">
        <f t="shared" si="123"/>
        <v>III</v>
      </c>
      <c r="Q553" s="796" t="s">
        <v>1882</v>
      </c>
      <c r="R553" s="796" t="str">
        <f t="shared" si="124"/>
        <v>I</v>
      </c>
      <c r="S553" s="796" t="s">
        <v>1883</v>
      </c>
      <c r="T553" s="796" t="str">
        <f t="shared" si="125"/>
        <v>II</v>
      </c>
      <c r="AG553" s="796"/>
      <c r="AH553" s="796"/>
      <c r="AI553" s="796"/>
      <c r="AJ553" s="796"/>
      <c r="AK553" s="796"/>
      <c r="AL553" s="796"/>
      <c r="AM553" s="796"/>
      <c r="AN553" s="796"/>
      <c r="AO553" s="796"/>
      <c r="AP553" s="796"/>
      <c r="AQ553" s="796"/>
      <c r="AR553" s="796"/>
      <c r="AS553" s="796"/>
      <c r="AT553" s="796"/>
      <c r="AU553" s="796"/>
      <c r="AV553" s="796"/>
      <c r="AW553" s="796"/>
      <c r="AX553" s="796"/>
      <c r="AY553" s="796"/>
      <c r="AZ553" s="796"/>
      <c r="BA553" s="796"/>
      <c r="BB553" s="796"/>
      <c r="BC553" s="796"/>
      <c r="BD553" s="796"/>
      <c r="BE553" s="796"/>
      <c r="BF553" s="796"/>
      <c r="BG553" s="796"/>
      <c r="BH553" s="796"/>
      <c r="BI553" s="796"/>
      <c r="BJ553" s="796"/>
      <c r="BK553" s="796"/>
      <c r="BL553" s="796"/>
    </row>
    <row r="554" spans="1:64" ht="15" customHeight="1">
      <c r="A554" s="796" t="s">
        <v>1884</v>
      </c>
      <c r="B554" s="795" t="str">
        <f t="shared" si="122"/>
        <v>IV</v>
      </c>
      <c r="C554" s="796" t="s">
        <v>1885</v>
      </c>
      <c r="D554" s="795" t="str">
        <f t="shared" si="123"/>
        <v>VII</v>
      </c>
      <c r="Q554" s="796" t="s">
        <v>1886</v>
      </c>
      <c r="R554" s="796" t="str">
        <f t="shared" si="124"/>
        <v>II</v>
      </c>
      <c r="S554" s="796" t="s">
        <v>1887</v>
      </c>
      <c r="T554" s="796" t="str">
        <f t="shared" si="125"/>
        <v>II</v>
      </c>
      <c r="AG554" s="796"/>
      <c r="AH554" s="796"/>
      <c r="AI554" s="796"/>
      <c r="AJ554" s="796"/>
      <c r="AK554" s="796"/>
      <c r="AL554" s="796"/>
      <c r="AM554" s="796"/>
      <c r="AN554" s="796"/>
      <c r="AO554" s="796"/>
      <c r="AP554" s="796"/>
      <c r="AQ554" s="796"/>
      <c r="AR554" s="796"/>
      <c r="AS554" s="796"/>
      <c r="AT554" s="796"/>
      <c r="AU554" s="796"/>
      <c r="AV554" s="796"/>
      <c r="AW554" s="796"/>
      <c r="AX554" s="796"/>
      <c r="AY554" s="796"/>
      <c r="AZ554" s="796"/>
      <c r="BA554" s="796"/>
      <c r="BB554" s="796"/>
      <c r="BC554" s="796"/>
      <c r="BD554" s="796"/>
      <c r="BE554" s="796"/>
      <c r="BF554" s="796"/>
      <c r="BG554" s="796"/>
      <c r="BH554" s="796"/>
      <c r="BI554" s="796"/>
      <c r="BJ554" s="796"/>
      <c r="BK554" s="796"/>
      <c r="BL554" s="796"/>
    </row>
    <row r="555" spans="1:64" ht="15" customHeight="1">
      <c r="A555" s="796" t="s">
        <v>1888</v>
      </c>
      <c r="B555" s="795" t="str">
        <f t="shared" si="122"/>
        <v>III</v>
      </c>
      <c r="C555" s="796" t="s">
        <v>1889</v>
      </c>
      <c r="D555" s="795" t="str">
        <f t="shared" si="123"/>
        <v>VII</v>
      </c>
      <c r="Q555" s="796" t="s">
        <v>1890</v>
      </c>
      <c r="R555" s="796" t="str">
        <f t="shared" si="124"/>
        <v>II</v>
      </c>
      <c r="S555" s="796" t="s">
        <v>1891</v>
      </c>
      <c r="T555" s="796" t="str">
        <f t="shared" si="125"/>
        <v>II</v>
      </c>
      <c r="AG555" s="796"/>
      <c r="AH555" s="796"/>
      <c r="AI555" s="796"/>
      <c r="AJ555" s="796"/>
      <c r="AK555" s="796"/>
      <c r="AL555" s="796"/>
      <c r="AM555" s="796"/>
      <c r="AN555" s="796"/>
      <c r="AO555" s="796"/>
      <c r="AP555" s="796"/>
      <c r="AQ555" s="796"/>
      <c r="AR555" s="796"/>
      <c r="AS555" s="796"/>
      <c r="AT555" s="796"/>
      <c r="AU555" s="796"/>
      <c r="AV555" s="796"/>
      <c r="AW555" s="796"/>
      <c r="AX555" s="796"/>
      <c r="AY555" s="796"/>
      <c r="AZ555" s="796"/>
      <c r="BA555" s="796"/>
      <c r="BB555" s="796"/>
      <c r="BC555" s="796"/>
      <c r="BD555" s="796"/>
      <c r="BE555" s="796"/>
      <c r="BF555" s="796"/>
      <c r="BG555" s="796"/>
      <c r="BH555" s="796"/>
      <c r="BI555" s="796"/>
      <c r="BJ555" s="796"/>
      <c r="BK555" s="796"/>
      <c r="BL555" s="796"/>
    </row>
    <row r="556" spans="1:64" ht="15" customHeight="1">
      <c r="A556" s="796" t="s">
        <v>1892</v>
      </c>
      <c r="B556" s="795" t="str">
        <f t="shared" si="122"/>
        <v>IV</v>
      </c>
      <c r="C556" s="796" t="s">
        <v>1893</v>
      </c>
      <c r="D556" s="795" t="str">
        <f t="shared" si="123"/>
        <v>II</v>
      </c>
      <c r="Q556" s="796" t="s">
        <v>1894</v>
      </c>
      <c r="R556" s="796" t="str">
        <f t="shared" si="124"/>
        <v>II</v>
      </c>
      <c r="S556" s="796" t="s">
        <v>1895</v>
      </c>
      <c r="T556" s="796" t="str">
        <f t="shared" si="125"/>
        <v>III</v>
      </c>
      <c r="AG556" s="796"/>
      <c r="AH556" s="796"/>
      <c r="AI556" s="796"/>
      <c r="AJ556" s="796"/>
      <c r="AK556" s="796"/>
      <c r="AL556" s="796"/>
      <c r="AM556" s="796"/>
      <c r="AN556" s="796"/>
      <c r="AO556" s="796"/>
      <c r="AP556" s="796"/>
      <c r="AQ556" s="796"/>
      <c r="AR556" s="796"/>
      <c r="AS556" s="796"/>
      <c r="AT556" s="796"/>
      <c r="AU556" s="796"/>
      <c r="AV556" s="796"/>
      <c r="AW556" s="796"/>
      <c r="AX556" s="796"/>
      <c r="AY556" s="796"/>
      <c r="AZ556" s="796"/>
      <c r="BA556" s="796"/>
      <c r="BB556" s="796"/>
      <c r="BC556" s="796"/>
      <c r="BD556" s="796"/>
      <c r="BE556" s="796"/>
      <c r="BF556" s="796"/>
      <c r="BG556" s="796"/>
      <c r="BH556" s="796"/>
      <c r="BI556" s="796"/>
      <c r="BJ556" s="796"/>
      <c r="BK556" s="796"/>
      <c r="BL556" s="796"/>
    </row>
    <row r="557" spans="1:64" ht="15" customHeight="1">
      <c r="A557" s="796" t="s">
        <v>1896</v>
      </c>
      <c r="B557" s="795" t="str">
        <f t="shared" si="122"/>
        <v>I</v>
      </c>
      <c r="C557" s="796" t="s">
        <v>1897</v>
      </c>
      <c r="D557" s="795" t="str">
        <f t="shared" si="123"/>
        <v>VI</v>
      </c>
      <c r="Q557" s="796" t="s">
        <v>1898</v>
      </c>
      <c r="R557" s="796" t="str">
        <f t="shared" si="124"/>
        <v>IV</v>
      </c>
      <c r="S557" s="796" t="s">
        <v>1899</v>
      </c>
      <c r="T557" s="796" t="str">
        <f t="shared" si="125"/>
        <v>II</v>
      </c>
    </row>
    <row r="558" spans="1:64" ht="15" customHeight="1">
      <c r="A558" s="796" t="s">
        <v>1900</v>
      </c>
      <c r="B558" s="795" t="str">
        <f t="shared" si="122"/>
        <v>IV</v>
      </c>
      <c r="C558" s="796" t="s">
        <v>1901</v>
      </c>
      <c r="D558" s="795" t="str">
        <f t="shared" si="123"/>
        <v>I</v>
      </c>
      <c r="Q558" s="796" t="s">
        <v>1902</v>
      </c>
      <c r="R558" s="796" t="str">
        <f t="shared" si="124"/>
        <v>I</v>
      </c>
      <c r="S558" s="796" t="s">
        <v>1903</v>
      </c>
      <c r="T558" s="796" t="str">
        <f t="shared" si="125"/>
        <v>III</v>
      </c>
    </row>
    <row r="559" spans="1:64" ht="15" customHeight="1">
      <c r="A559" s="796" t="s">
        <v>1904</v>
      </c>
      <c r="B559" s="795" t="str">
        <f t="shared" si="122"/>
        <v>III</v>
      </c>
      <c r="C559" s="796" t="s">
        <v>1905</v>
      </c>
      <c r="D559" s="795" t="str">
        <f t="shared" si="123"/>
        <v>VII</v>
      </c>
      <c r="Q559" s="796" t="s">
        <v>1906</v>
      </c>
      <c r="R559" s="796" t="str">
        <f t="shared" si="124"/>
        <v>I</v>
      </c>
      <c r="S559" s="796" t="s">
        <v>1907</v>
      </c>
      <c r="T559" s="796" t="str">
        <f t="shared" si="125"/>
        <v>IV</v>
      </c>
    </row>
    <row r="560" spans="1:64" ht="15" customHeight="1">
      <c r="A560" s="796" t="s">
        <v>1908</v>
      </c>
      <c r="B560" s="795" t="str">
        <f t="shared" si="122"/>
        <v>II</v>
      </c>
      <c r="C560" s="796" t="s">
        <v>1909</v>
      </c>
      <c r="D560" s="795" t="str">
        <f t="shared" si="123"/>
        <v>III</v>
      </c>
      <c r="Q560" s="796" t="s">
        <v>1910</v>
      </c>
      <c r="R560" s="796" t="str">
        <f t="shared" si="124"/>
        <v>III</v>
      </c>
      <c r="S560" s="796" t="s">
        <v>1911</v>
      </c>
      <c r="T560" s="796" t="str">
        <f t="shared" si="125"/>
        <v>IV</v>
      </c>
    </row>
    <row r="561" spans="1:20" ht="15" customHeight="1">
      <c r="A561" s="796" t="s">
        <v>1912</v>
      </c>
      <c r="B561" s="795" t="str">
        <f t="shared" si="122"/>
        <v>III</v>
      </c>
      <c r="C561" s="796" t="s">
        <v>1913</v>
      </c>
      <c r="D561" s="795" t="str">
        <f t="shared" si="123"/>
        <v>I</v>
      </c>
      <c r="Q561" s="796" t="s">
        <v>1914</v>
      </c>
      <c r="R561" s="796" t="str">
        <f t="shared" si="124"/>
        <v>IV</v>
      </c>
      <c r="S561" s="796" t="s">
        <v>1915</v>
      </c>
      <c r="T561" s="796" t="str">
        <f t="shared" si="125"/>
        <v>II</v>
      </c>
    </row>
    <row r="562" spans="1:20" ht="15" customHeight="1">
      <c r="A562" s="796" t="s">
        <v>1916</v>
      </c>
      <c r="B562" s="795" t="str">
        <f t="shared" si="122"/>
        <v>IV</v>
      </c>
      <c r="C562" s="796" t="s">
        <v>1917</v>
      </c>
      <c r="D562" s="795" t="str">
        <f t="shared" si="123"/>
        <v>IV</v>
      </c>
      <c r="Q562" s="796" t="s">
        <v>1918</v>
      </c>
      <c r="R562" s="796" t="str">
        <f t="shared" si="124"/>
        <v>II</v>
      </c>
      <c r="S562" s="796" t="s">
        <v>1919</v>
      </c>
      <c r="T562" s="796" t="str">
        <f t="shared" si="125"/>
        <v>II</v>
      </c>
    </row>
    <row r="563" spans="1:20" ht="15" customHeight="1">
      <c r="A563" s="796" t="s">
        <v>1920</v>
      </c>
      <c r="B563" s="795" t="str">
        <f t="shared" si="122"/>
        <v>V</v>
      </c>
      <c r="C563" s="796" t="s">
        <v>1921</v>
      </c>
      <c r="D563" s="795" t="str">
        <f t="shared" si="123"/>
        <v>II</v>
      </c>
      <c r="Q563" s="796" t="s">
        <v>1922</v>
      </c>
      <c r="R563" s="796" t="str">
        <f t="shared" si="124"/>
        <v>I</v>
      </c>
      <c r="S563" s="796" t="s">
        <v>1923</v>
      </c>
      <c r="T563" s="796" t="str">
        <f t="shared" si="125"/>
        <v>III</v>
      </c>
    </row>
    <row r="564" spans="1:20" ht="15" customHeight="1">
      <c r="A564" s="796" t="s">
        <v>1924</v>
      </c>
      <c r="B564" s="795" t="str">
        <f t="shared" si="122"/>
        <v>II</v>
      </c>
      <c r="C564" s="796" t="s">
        <v>1925</v>
      </c>
      <c r="D564" s="795" t="str">
        <f t="shared" si="123"/>
        <v>IV</v>
      </c>
      <c r="Q564" s="796" t="s">
        <v>1926</v>
      </c>
      <c r="R564" s="796" t="str">
        <f t="shared" si="124"/>
        <v>I</v>
      </c>
      <c r="S564" s="796" t="s">
        <v>1927</v>
      </c>
      <c r="T564" s="796" t="str">
        <f t="shared" si="125"/>
        <v>II</v>
      </c>
    </row>
    <row r="565" spans="1:20" ht="15" customHeight="1">
      <c r="A565" s="796" t="s">
        <v>1928</v>
      </c>
      <c r="B565" s="795" t="str">
        <f t="shared" si="122"/>
        <v>V</v>
      </c>
      <c r="C565" s="796" t="s">
        <v>1929</v>
      </c>
      <c r="D565" s="795" t="str">
        <f t="shared" si="123"/>
        <v>IV</v>
      </c>
      <c r="Q565" s="796" t="s">
        <v>1930</v>
      </c>
      <c r="R565" s="796" t="str">
        <f t="shared" si="124"/>
        <v>II</v>
      </c>
      <c r="S565" s="796" t="s">
        <v>1931</v>
      </c>
      <c r="T565" s="796" t="str">
        <f t="shared" si="125"/>
        <v>II</v>
      </c>
    </row>
    <row r="566" spans="1:20" ht="15" customHeight="1">
      <c r="A566" s="796" t="s">
        <v>1932</v>
      </c>
      <c r="B566" s="795" t="str">
        <f t="shared" si="122"/>
        <v>IV</v>
      </c>
      <c r="C566" s="796" t="s">
        <v>1933</v>
      </c>
      <c r="D566" s="795" t="str">
        <f t="shared" si="123"/>
        <v>I</v>
      </c>
      <c r="S566" s="796" t="s">
        <v>1934</v>
      </c>
      <c r="T566" s="796" t="str">
        <f t="shared" si="125"/>
        <v>III</v>
      </c>
    </row>
    <row r="567" spans="1:20" ht="15" customHeight="1">
      <c r="A567" s="796" t="s">
        <v>1935</v>
      </c>
      <c r="B567" s="795" t="str">
        <f t="shared" si="122"/>
        <v>III</v>
      </c>
      <c r="C567" s="796" t="s">
        <v>1936</v>
      </c>
      <c r="D567" s="795" t="str">
        <f t="shared" si="123"/>
        <v>VII</v>
      </c>
      <c r="S567" s="796" t="s">
        <v>1937</v>
      </c>
      <c r="T567" s="796" t="str">
        <f t="shared" si="125"/>
        <v>I</v>
      </c>
    </row>
    <row r="568" spans="1:20" ht="15" customHeight="1">
      <c r="A568" s="796" t="s">
        <v>1938</v>
      </c>
      <c r="B568" s="795" t="str">
        <f t="shared" si="122"/>
        <v>II</v>
      </c>
      <c r="C568" s="796" t="s">
        <v>1939</v>
      </c>
      <c r="D568" s="795" t="str">
        <f t="shared" si="123"/>
        <v>II</v>
      </c>
      <c r="S568" s="796" t="s">
        <v>1940</v>
      </c>
      <c r="T568" s="796" t="str">
        <f t="shared" si="125"/>
        <v>IV</v>
      </c>
    </row>
    <row r="569" spans="1:20" ht="15" customHeight="1">
      <c r="A569" s="796" t="s">
        <v>1941</v>
      </c>
      <c r="B569" s="795" t="str">
        <f t="shared" si="122"/>
        <v>III</v>
      </c>
      <c r="C569" s="796" t="s">
        <v>1942</v>
      </c>
      <c r="D569" s="795" t="str">
        <f t="shared" si="123"/>
        <v>I</v>
      </c>
      <c r="S569" s="796" t="s">
        <v>1943</v>
      </c>
      <c r="T569" s="796" t="str">
        <f t="shared" si="125"/>
        <v>I</v>
      </c>
    </row>
    <row r="570" spans="1:20" ht="15" customHeight="1">
      <c r="A570" s="796" t="s">
        <v>1944</v>
      </c>
      <c r="B570" s="795" t="str">
        <f t="shared" si="122"/>
        <v>V</v>
      </c>
      <c r="C570" s="796" t="s">
        <v>1945</v>
      </c>
      <c r="D570" s="795" t="str">
        <f t="shared" si="123"/>
        <v>VII</v>
      </c>
      <c r="S570" s="796" t="s">
        <v>1946</v>
      </c>
      <c r="T570" s="796" t="str">
        <f t="shared" si="125"/>
        <v>III</v>
      </c>
    </row>
    <row r="571" spans="1:20" ht="15" customHeight="1">
      <c r="A571" s="796" t="s">
        <v>1947</v>
      </c>
      <c r="B571" s="795" t="str">
        <f t="shared" si="122"/>
        <v>III</v>
      </c>
      <c r="C571" s="796" t="s">
        <v>1948</v>
      </c>
      <c r="D571" s="795" t="str">
        <f t="shared" si="123"/>
        <v>IV</v>
      </c>
      <c r="S571" s="796" t="s">
        <v>1949</v>
      </c>
      <c r="T571" s="796" t="str">
        <f t="shared" si="125"/>
        <v>II</v>
      </c>
    </row>
    <row r="572" spans="1:20" ht="15" customHeight="1">
      <c r="A572" s="796" t="s">
        <v>1950</v>
      </c>
      <c r="B572" s="795" t="str">
        <f t="shared" si="122"/>
        <v>III</v>
      </c>
      <c r="C572" s="796" t="s">
        <v>1951</v>
      </c>
      <c r="D572" s="795" t="str">
        <f t="shared" si="123"/>
        <v>VII</v>
      </c>
      <c r="S572" s="796" t="s">
        <v>1952</v>
      </c>
      <c r="T572" s="796" t="str">
        <f t="shared" si="125"/>
        <v>II</v>
      </c>
    </row>
    <row r="573" spans="1:20" ht="15" customHeight="1">
      <c r="A573" s="796" t="s">
        <v>1953</v>
      </c>
      <c r="B573" s="795" t="str">
        <f t="shared" si="122"/>
        <v>II</v>
      </c>
      <c r="C573" s="796" t="s">
        <v>1954</v>
      </c>
      <c r="D573" s="795" t="str">
        <f t="shared" si="123"/>
        <v>IV</v>
      </c>
      <c r="S573" s="796" t="s">
        <v>1955</v>
      </c>
      <c r="T573" s="796" t="str">
        <f t="shared" si="125"/>
        <v>III</v>
      </c>
    </row>
    <row r="574" spans="1:20" ht="15" customHeight="1">
      <c r="A574" s="796" t="s">
        <v>1956</v>
      </c>
      <c r="B574" s="795" t="str">
        <f t="shared" si="122"/>
        <v>III</v>
      </c>
      <c r="C574" s="796" t="s">
        <v>1957</v>
      </c>
      <c r="D574" s="795" t="str">
        <f t="shared" si="123"/>
        <v>I</v>
      </c>
      <c r="S574" s="796" t="s">
        <v>1958</v>
      </c>
      <c r="T574" s="796" t="str">
        <f t="shared" si="125"/>
        <v>I</v>
      </c>
    </row>
    <row r="575" spans="1:20" ht="15" customHeight="1">
      <c r="A575" s="796" t="s">
        <v>1959</v>
      </c>
      <c r="B575" s="795" t="str">
        <f t="shared" si="122"/>
        <v>VI</v>
      </c>
      <c r="C575" s="796" t="s">
        <v>1960</v>
      </c>
      <c r="D575" s="795" t="str">
        <f t="shared" si="123"/>
        <v>V</v>
      </c>
      <c r="S575" s="796" t="s">
        <v>1961</v>
      </c>
      <c r="T575" s="796" t="str">
        <f t="shared" si="125"/>
        <v>II</v>
      </c>
    </row>
    <row r="576" spans="1:20" ht="15" customHeight="1">
      <c r="A576" s="796" t="s">
        <v>1962</v>
      </c>
      <c r="B576" s="795" t="str">
        <f t="shared" si="122"/>
        <v>I</v>
      </c>
      <c r="C576" s="796" t="s">
        <v>1963</v>
      </c>
      <c r="D576" s="795" t="str">
        <f t="shared" si="123"/>
        <v>II</v>
      </c>
      <c r="S576" s="796" t="s">
        <v>1964</v>
      </c>
      <c r="T576" s="796" t="str">
        <f t="shared" si="125"/>
        <v>IV</v>
      </c>
    </row>
    <row r="577" spans="1:20" ht="15" customHeight="1">
      <c r="A577" s="796" t="s">
        <v>1965</v>
      </c>
      <c r="B577" s="795" t="str">
        <f t="shared" si="122"/>
        <v>III</v>
      </c>
      <c r="C577" s="796" t="s">
        <v>1966</v>
      </c>
      <c r="D577" s="795" t="str">
        <f t="shared" si="123"/>
        <v>I</v>
      </c>
      <c r="S577" s="796" t="s">
        <v>1967</v>
      </c>
      <c r="T577" s="796" t="str">
        <f t="shared" si="125"/>
        <v>II</v>
      </c>
    </row>
    <row r="578" spans="1:20" ht="15" customHeight="1">
      <c r="A578" s="796" t="s">
        <v>1968</v>
      </c>
      <c r="B578" s="795" t="str">
        <f t="shared" si="122"/>
        <v>V</v>
      </c>
      <c r="C578" s="796" t="s">
        <v>1969</v>
      </c>
      <c r="D578" s="795" t="str">
        <f t="shared" si="123"/>
        <v>I</v>
      </c>
      <c r="S578" s="796" t="s">
        <v>1970</v>
      </c>
      <c r="T578" s="796" t="str">
        <f t="shared" si="125"/>
        <v>I</v>
      </c>
    </row>
    <row r="579" spans="1:20" ht="15" customHeight="1">
      <c r="A579" s="796" t="s">
        <v>1971</v>
      </c>
      <c r="B579" s="795" t="str">
        <f t="shared" si="122"/>
        <v>I</v>
      </c>
      <c r="C579" s="796" t="s">
        <v>1972</v>
      </c>
      <c r="D579" s="795" t="str">
        <f t="shared" si="123"/>
        <v>V</v>
      </c>
      <c r="S579" s="796" t="s">
        <v>1973</v>
      </c>
      <c r="T579" s="796" t="str">
        <f t="shared" si="125"/>
        <v>II</v>
      </c>
    </row>
    <row r="580" spans="1:20" ht="15" customHeight="1">
      <c r="A580" s="796" t="s">
        <v>1974</v>
      </c>
      <c r="B580" s="795" t="str">
        <f t="shared" ref="B580:B615" si="126">VLOOKUP(A580,BaWü,IF(Jahreszahl&lt;2020,3,2))</f>
        <v>III</v>
      </c>
      <c r="C580" s="796" t="s">
        <v>1975</v>
      </c>
      <c r="D580" s="795" t="str">
        <f t="shared" ref="D580:D623" si="127">VLOOKUP(C580,Bayern,IF(Jahreszahl&lt;2020,3,2))</f>
        <v>II</v>
      </c>
      <c r="S580" s="796" t="s">
        <v>1976</v>
      </c>
      <c r="T580" s="796" t="str">
        <f t="shared" ref="T580:T643" si="128">VLOOKUP(S580,NRW,IF(Jahreszahl&lt;2020,3,2))</f>
        <v>I</v>
      </c>
    </row>
    <row r="581" spans="1:20" ht="15" customHeight="1">
      <c r="A581" s="796" t="s">
        <v>1977</v>
      </c>
      <c r="B581" s="795" t="str">
        <f t="shared" si="126"/>
        <v>IV</v>
      </c>
      <c r="C581" s="796" t="s">
        <v>1978</v>
      </c>
      <c r="D581" s="795" t="str">
        <f t="shared" si="127"/>
        <v>III</v>
      </c>
      <c r="S581" s="796" t="s">
        <v>1979</v>
      </c>
      <c r="T581" s="796" t="str">
        <f t="shared" si="128"/>
        <v>I</v>
      </c>
    </row>
    <row r="582" spans="1:20" ht="15" customHeight="1">
      <c r="A582" s="796" t="s">
        <v>1980</v>
      </c>
      <c r="B582" s="795" t="str">
        <f t="shared" si="126"/>
        <v>II</v>
      </c>
      <c r="C582" s="796" t="s">
        <v>1981</v>
      </c>
      <c r="D582" s="795" t="str">
        <f t="shared" si="127"/>
        <v>I</v>
      </c>
      <c r="S582" s="796" t="s">
        <v>1982</v>
      </c>
      <c r="T582" s="796" t="str">
        <f t="shared" si="128"/>
        <v>V</v>
      </c>
    </row>
    <row r="583" spans="1:20" ht="15" customHeight="1">
      <c r="A583" s="796" t="s">
        <v>1983</v>
      </c>
      <c r="B583" s="795" t="str">
        <f t="shared" si="126"/>
        <v>III</v>
      </c>
      <c r="C583" s="796" t="s">
        <v>1984</v>
      </c>
      <c r="D583" s="795" t="str">
        <f t="shared" si="127"/>
        <v>IV</v>
      </c>
      <c r="S583" s="796" t="s">
        <v>1985</v>
      </c>
      <c r="T583" s="796" t="str">
        <f t="shared" si="128"/>
        <v>III</v>
      </c>
    </row>
    <row r="584" spans="1:20" ht="15" customHeight="1">
      <c r="A584" s="796" t="s">
        <v>1986</v>
      </c>
      <c r="B584" s="795" t="str">
        <f t="shared" si="126"/>
        <v>VII</v>
      </c>
      <c r="C584" s="796" t="s">
        <v>1987</v>
      </c>
      <c r="D584" s="795" t="str">
        <f t="shared" si="127"/>
        <v>II</v>
      </c>
      <c r="S584" s="796" t="s">
        <v>1988</v>
      </c>
      <c r="T584" s="796" t="str">
        <f t="shared" si="128"/>
        <v>II</v>
      </c>
    </row>
    <row r="585" spans="1:20" ht="15" customHeight="1">
      <c r="A585" s="796" t="s">
        <v>1989</v>
      </c>
      <c r="B585" s="795" t="str">
        <f t="shared" si="126"/>
        <v>III</v>
      </c>
      <c r="C585" s="796" t="s">
        <v>1990</v>
      </c>
      <c r="D585" s="795" t="str">
        <f t="shared" si="127"/>
        <v>III</v>
      </c>
      <c r="S585" s="796" t="s">
        <v>1991</v>
      </c>
      <c r="T585" s="796" t="str">
        <f t="shared" si="128"/>
        <v>I</v>
      </c>
    </row>
    <row r="586" spans="1:20" ht="15" customHeight="1">
      <c r="A586" s="796" t="s">
        <v>1992</v>
      </c>
      <c r="B586" s="795" t="str">
        <f t="shared" si="126"/>
        <v>IV</v>
      </c>
      <c r="C586" s="796" t="s">
        <v>1993</v>
      </c>
      <c r="D586" s="795" t="str">
        <f t="shared" si="127"/>
        <v>III</v>
      </c>
      <c r="S586" s="796" t="s">
        <v>1994</v>
      </c>
      <c r="T586" s="796" t="str">
        <f t="shared" si="128"/>
        <v>V</v>
      </c>
    </row>
    <row r="587" spans="1:20" ht="15" customHeight="1">
      <c r="A587" s="796" t="s">
        <v>1995</v>
      </c>
      <c r="B587" s="795" t="str">
        <f t="shared" si="126"/>
        <v>III</v>
      </c>
      <c r="C587" s="796" t="s">
        <v>1996</v>
      </c>
      <c r="D587" s="795" t="str">
        <f t="shared" si="127"/>
        <v>I</v>
      </c>
      <c r="S587" s="796" t="s">
        <v>1997</v>
      </c>
      <c r="T587" s="796" t="str">
        <f t="shared" si="128"/>
        <v>I</v>
      </c>
    </row>
    <row r="588" spans="1:20" ht="15" customHeight="1">
      <c r="A588" s="796" t="s">
        <v>1998</v>
      </c>
      <c r="B588" s="795" t="str">
        <f t="shared" si="126"/>
        <v>III</v>
      </c>
      <c r="C588" s="796" t="s">
        <v>1999</v>
      </c>
      <c r="D588" s="795" t="str">
        <f t="shared" si="127"/>
        <v>II</v>
      </c>
      <c r="S588" s="796" t="s">
        <v>2000</v>
      </c>
      <c r="T588" s="796" t="str">
        <f t="shared" si="128"/>
        <v>III</v>
      </c>
    </row>
    <row r="589" spans="1:20" ht="15" customHeight="1">
      <c r="A589" s="796" t="s">
        <v>2001</v>
      </c>
      <c r="B589" s="795" t="str">
        <f t="shared" si="126"/>
        <v>IV</v>
      </c>
      <c r="C589" s="796" t="s">
        <v>2002</v>
      </c>
      <c r="D589" s="795" t="str">
        <f t="shared" si="127"/>
        <v>I</v>
      </c>
      <c r="S589" s="796" t="s">
        <v>2003</v>
      </c>
      <c r="T589" s="796" t="str">
        <f t="shared" si="128"/>
        <v>II</v>
      </c>
    </row>
    <row r="590" spans="1:20" ht="15" customHeight="1">
      <c r="A590" s="796" t="s">
        <v>2004</v>
      </c>
      <c r="B590" s="795" t="str">
        <f t="shared" si="126"/>
        <v>III</v>
      </c>
      <c r="C590" s="796" t="s">
        <v>2005</v>
      </c>
      <c r="D590" s="795" t="str">
        <f t="shared" si="127"/>
        <v>IV</v>
      </c>
      <c r="S590" s="796" t="s">
        <v>2006</v>
      </c>
      <c r="T590" s="796" t="str">
        <f t="shared" si="128"/>
        <v>I</v>
      </c>
    </row>
    <row r="591" spans="1:20" ht="15" customHeight="1">
      <c r="A591" s="796" t="s">
        <v>2007</v>
      </c>
      <c r="B591" s="795" t="str">
        <f t="shared" si="126"/>
        <v>III</v>
      </c>
      <c r="C591" s="796" t="s">
        <v>2008</v>
      </c>
      <c r="D591" s="795" t="str">
        <f t="shared" si="127"/>
        <v>III</v>
      </c>
      <c r="S591" s="796" t="s">
        <v>2009</v>
      </c>
      <c r="T591" s="796" t="str">
        <f t="shared" si="128"/>
        <v>I</v>
      </c>
    </row>
    <row r="592" spans="1:20" ht="15" customHeight="1">
      <c r="A592" s="796" t="s">
        <v>2010</v>
      </c>
      <c r="B592" s="795" t="str">
        <f t="shared" si="126"/>
        <v>II</v>
      </c>
      <c r="C592" s="796" t="s">
        <v>2011</v>
      </c>
      <c r="D592" s="795" t="str">
        <f t="shared" si="127"/>
        <v>III</v>
      </c>
      <c r="S592" s="796" t="s">
        <v>2012</v>
      </c>
      <c r="T592" s="796" t="str">
        <f t="shared" si="128"/>
        <v>III</v>
      </c>
    </row>
    <row r="593" spans="1:20" ht="15" customHeight="1">
      <c r="A593" s="796" t="s">
        <v>2013</v>
      </c>
      <c r="B593" s="795" t="str">
        <f t="shared" si="126"/>
        <v>V</v>
      </c>
      <c r="C593" s="796" t="s">
        <v>2014</v>
      </c>
      <c r="D593" s="795" t="str">
        <f t="shared" si="127"/>
        <v>VII</v>
      </c>
      <c r="S593" s="796" t="s">
        <v>2015</v>
      </c>
      <c r="T593" s="796" t="str">
        <f t="shared" si="128"/>
        <v>III</v>
      </c>
    </row>
    <row r="594" spans="1:20" ht="15" customHeight="1">
      <c r="A594" s="796" t="s">
        <v>2016</v>
      </c>
      <c r="B594" s="795" t="str">
        <f t="shared" si="126"/>
        <v>IV</v>
      </c>
      <c r="C594" s="796" t="s">
        <v>2017</v>
      </c>
      <c r="D594" s="795" t="str">
        <f t="shared" si="127"/>
        <v>IV</v>
      </c>
      <c r="S594" s="796" t="s">
        <v>2018</v>
      </c>
      <c r="T594" s="796" t="str">
        <f t="shared" si="128"/>
        <v>II</v>
      </c>
    </row>
    <row r="595" spans="1:20" ht="15" customHeight="1">
      <c r="A595" s="796" t="s">
        <v>2019</v>
      </c>
      <c r="B595" s="795" t="str">
        <f t="shared" si="126"/>
        <v>III</v>
      </c>
      <c r="C595" s="796" t="s">
        <v>2020</v>
      </c>
      <c r="D595" s="795" t="str">
        <f t="shared" si="127"/>
        <v>V</v>
      </c>
      <c r="S595" s="796" t="s">
        <v>2021</v>
      </c>
      <c r="T595" s="796" t="str">
        <f t="shared" si="128"/>
        <v>IV</v>
      </c>
    </row>
    <row r="596" spans="1:20" ht="15" customHeight="1">
      <c r="A596" s="796" t="s">
        <v>2022</v>
      </c>
      <c r="B596" s="795" t="str">
        <f t="shared" si="126"/>
        <v>III</v>
      </c>
      <c r="C596" s="796" t="s">
        <v>2023</v>
      </c>
      <c r="D596" s="795" t="str">
        <f t="shared" si="127"/>
        <v>II</v>
      </c>
      <c r="S596" s="796" t="s">
        <v>2024</v>
      </c>
      <c r="T596" s="796" t="str">
        <f t="shared" si="128"/>
        <v>III</v>
      </c>
    </row>
    <row r="597" spans="1:20" ht="15" customHeight="1">
      <c r="A597" s="796" t="s">
        <v>2025</v>
      </c>
      <c r="B597" s="795" t="str">
        <f t="shared" si="126"/>
        <v>V</v>
      </c>
      <c r="C597" s="796" t="s">
        <v>2026</v>
      </c>
      <c r="D597" s="795" t="str">
        <f t="shared" si="127"/>
        <v>I</v>
      </c>
      <c r="S597" s="796" t="s">
        <v>2027</v>
      </c>
      <c r="T597" s="796" t="str">
        <f t="shared" si="128"/>
        <v>II</v>
      </c>
    </row>
    <row r="598" spans="1:20" ht="15" customHeight="1">
      <c r="A598" s="796" t="s">
        <v>2028</v>
      </c>
      <c r="B598" s="795" t="str">
        <f t="shared" si="126"/>
        <v>I</v>
      </c>
      <c r="C598" s="796" t="s">
        <v>2029</v>
      </c>
      <c r="D598" s="795" t="str">
        <f t="shared" si="127"/>
        <v>III</v>
      </c>
      <c r="S598" s="796" t="s">
        <v>2030</v>
      </c>
      <c r="T598" s="796" t="str">
        <f t="shared" si="128"/>
        <v>II</v>
      </c>
    </row>
    <row r="599" spans="1:20" ht="15" customHeight="1">
      <c r="A599" s="796" t="s">
        <v>2031</v>
      </c>
      <c r="B599" s="795" t="str">
        <f t="shared" si="126"/>
        <v>III</v>
      </c>
      <c r="C599" s="796" t="s">
        <v>2032</v>
      </c>
      <c r="D599" s="795" t="str">
        <f t="shared" si="127"/>
        <v>III</v>
      </c>
      <c r="S599" s="796" t="s">
        <v>2033</v>
      </c>
      <c r="T599" s="796" t="str">
        <f t="shared" si="128"/>
        <v>III</v>
      </c>
    </row>
    <row r="600" spans="1:20" ht="15" customHeight="1">
      <c r="A600" s="796" t="s">
        <v>2034</v>
      </c>
      <c r="B600" s="795" t="str">
        <f t="shared" si="126"/>
        <v>III</v>
      </c>
      <c r="C600" s="796" t="s">
        <v>2035</v>
      </c>
      <c r="D600" s="795" t="str">
        <f t="shared" si="127"/>
        <v>II</v>
      </c>
      <c r="S600" s="796" t="s">
        <v>2036</v>
      </c>
      <c r="T600" s="796" t="str">
        <f t="shared" si="128"/>
        <v>I</v>
      </c>
    </row>
    <row r="601" spans="1:20" ht="15" customHeight="1">
      <c r="A601" s="796" t="s">
        <v>2037</v>
      </c>
      <c r="B601" s="795" t="str">
        <f t="shared" si="126"/>
        <v>V</v>
      </c>
      <c r="C601" s="796" t="s">
        <v>2038</v>
      </c>
      <c r="D601" s="795" t="str">
        <f t="shared" si="127"/>
        <v>III</v>
      </c>
      <c r="S601" s="796" t="s">
        <v>2039</v>
      </c>
      <c r="T601" s="796" t="str">
        <f t="shared" si="128"/>
        <v>V</v>
      </c>
    </row>
    <row r="602" spans="1:20" ht="15" customHeight="1">
      <c r="A602" s="796" t="s">
        <v>2040</v>
      </c>
      <c r="B602" s="795" t="str">
        <f t="shared" si="126"/>
        <v>V</v>
      </c>
      <c r="C602" s="796" t="s">
        <v>2041</v>
      </c>
      <c r="D602" s="795" t="str">
        <f t="shared" si="127"/>
        <v>I</v>
      </c>
      <c r="S602" s="796" t="s">
        <v>2042</v>
      </c>
      <c r="T602" s="796" t="str">
        <f t="shared" si="128"/>
        <v>II</v>
      </c>
    </row>
    <row r="603" spans="1:20" ht="15" customHeight="1">
      <c r="A603" s="796" t="s">
        <v>2043</v>
      </c>
      <c r="B603" s="795" t="str">
        <f t="shared" si="126"/>
        <v>IV</v>
      </c>
      <c r="C603" s="796" t="s">
        <v>2044</v>
      </c>
      <c r="D603" s="795" t="str">
        <f t="shared" si="127"/>
        <v>II</v>
      </c>
      <c r="S603" s="796" t="s">
        <v>2045</v>
      </c>
      <c r="T603" s="796" t="str">
        <f t="shared" si="128"/>
        <v>I</v>
      </c>
    </row>
    <row r="604" spans="1:20" ht="15" customHeight="1">
      <c r="A604" s="796" t="s">
        <v>2046</v>
      </c>
      <c r="B604" s="795" t="str">
        <f t="shared" si="126"/>
        <v>V</v>
      </c>
      <c r="C604" s="796" t="s">
        <v>2047</v>
      </c>
      <c r="D604" s="795" t="str">
        <f t="shared" si="127"/>
        <v>VII</v>
      </c>
      <c r="S604" s="796" t="s">
        <v>2048</v>
      </c>
      <c r="T604" s="796" t="str">
        <f t="shared" si="128"/>
        <v>I</v>
      </c>
    </row>
    <row r="605" spans="1:20" ht="15" customHeight="1">
      <c r="A605" s="796" t="s">
        <v>2049</v>
      </c>
      <c r="B605" s="795" t="str">
        <f t="shared" si="126"/>
        <v>III</v>
      </c>
      <c r="C605" s="796" t="s">
        <v>2050</v>
      </c>
      <c r="D605" s="795" t="str">
        <f t="shared" si="127"/>
        <v>VII</v>
      </c>
      <c r="S605" s="796" t="s">
        <v>2051</v>
      </c>
      <c r="T605" s="796" t="str">
        <f t="shared" si="128"/>
        <v>IV</v>
      </c>
    </row>
    <row r="606" spans="1:20" ht="15" customHeight="1">
      <c r="A606" s="796" t="s">
        <v>2052</v>
      </c>
      <c r="B606" s="795" t="str">
        <f t="shared" si="126"/>
        <v>IV</v>
      </c>
      <c r="C606" s="796" t="s">
        <v>2053</v>
      </c>
      <c r="D606" s="795" t="str">
        <f t="shared" si="127"/>
        <v>VII</v>
      </c>
      <c r="S606" s="796" t="s">
        <v>2054</v>
      </c>
      <c r="T606" s="796" t="str">
        <f t="shared" si="128"/>
        <v>II</v>
      </c>
    </row>
    <row r="607" spans="1:20" ht="15" customHeight="1">
      <c r="A607" s="796" t="s">
        <v>2055</v>
      </c>
      <c r="B607" s="795" t="str">
        <f t="shared" si="126"/>
        <v>III</v>
      </c>
      <c r="C607" s="796" t="s">
        <v>2056</v>
      </c>
      <c r="D607" s="795" t="str">
        <f t="shared" si="127"/>
        <v>VII</v>
      </c>
      <c r="S607" s="796" t="s">
        <v>2057</v>
      </c>
      <c r="T607" s="796" t="str">
        <f t="shared" si="128"/>
        <v>II</v>
      </c>
    </row>
    <row r="608" spans="1:20" ht="15" customHeight="1">
      <c r="A608" s="796" t="s">
        <v>2058</v>
      </c>
      <c r="B608" s="795" t="str">
        <f t="shared" si="126"/>
        <v>V</v>
      </c>
      <c r="C608" s="796" t="s">
        <v>2059</v>
      </c>
      <c r="D608" s="795" t="str">
        <f t="shared" si="127"/>
        <v>II</v>
      </c>
      <c r="S608" s="796" t="s">
        <v>2060</v>
      </c>
      <c r="T608" s="796" t="str">
        <f t="shared" si="128"/>
        <v>III</v>
      </c>
    </row>
    <row r="609" spans="1:20" ht="15" customHeight="1">
      <c r="A609" s="796" t="s">
        <v>2061</v>
      </c>
      <c r="B609" s="795" t="str">
        <f t="shared" si="126"/>
        <v>III</v>
      </c>
      <c r="C609" s="796" t="s">
        <v>2062</v>
      </c>
      <c r="D609" s="795" t="str">
        <f t="shared" si="127"/>
        <v>I</v>
      </c>
      <c r="S609" s="796" t="s">
        <v>2063</v>
      </c>
      <c r="T609" s="796" t="str">
        <f t="shared" si="128"/>
        <v>I</v>
      </c>
    </row>
    <row r="610" spans="1:20" ht="15" customHeight="1">
      <c r="A610" s="796" t="s">
        <v>2064</v>
      </c>
      <c r="B610" s="795" t="str">
        <f t="shared" si="126"/>
        <v>V</v>
      </c>
      <c r="C610" s="796" t="s">
        <v>2065</v>
      </c>
      <c r="D610" s="795" t="str">
        <f t="shared" si="127"/>
        <v>III</v>
      </c>
      <c r="S610" s="796" t="s">
        <v>2066</v>
      </c>
      <c r="T610" s="796" t="str">
        <f t="shared" si="128"/>
        <v>II</v>
      </c>
    </row>
    <row r="611" spans="1:20" ht="15" customHeight="1">
      <c r="A611" s="796" t="s">
        <v>2067</v>
      </c>
      <c r="B611" s="795" t="str">
        <f t="shared" si="126"/>
        <v>V</v>
      </c>
      <c r="C611" s="796" t="s">
        <v>2068</v>
      </c>
      <c r="D611" s="795" t="str">
        <f t="shared" si="127"/>
        <v>I</v>
      </c>
      <c r="S611" s="796" t="s">
        <v>2069</v>
      </c>
      <c r="T611" s="796" t="str">
        <f t="shared" si="128"/>
        <v>I</v>
      </c>
    </row>
    <row r="612" spans="1:20" ht="15" customHeight="1">
      <c r="A612" s="796" t="s">
        <v>2070</v>
      </c>
      <c r="B612" s="795" t="str">
        <f t="shared" si="126"/>
        <v>II</v>
      </c>
      <c r="C612" s="796" t="s">
        <v>2071</v>
      </c>
      <c r="D612" s="795" t="str">
        <f t="shared" si="127"/>
        <v>II</v>
      </c>
      <c r="S612" s="796" t="s">
        <v>2072</v>
      </c>
      <c r="T612" s="796" t="str">
        <f t="shared" si="128"/>
        <v>II</v>
      </c>
    </row>
    <row r="613" spans="1:20" ht="15" customHeight="1">
      <c r="A613" s="796" t="s">
        <v>2073</v>
      </c>
      <c r="B613" s="795" t="str">
        <f t="shared" si="126"/>
        <v>V</v>
      </c>
      <c r="C613" s="796" t="s">
        <v>2074</v>
      </c>
      <c r="D613" s="795" t="str">
        <f t="shared" si="127"/>
        <v>IV</v>
      </c>
      <c r="S613" s="796" t="s">
        <v>2075</v>
      </c>
      <c r="T613" s="796" t="str">
        <f t="shared" si="128"/>
        <v>III</v>
      </c>
    </row>
    <row r="614" spans="1:20" ht="15" customHeight="1">
      <c r="A614" s="796" t="s">
        <v>2076</v>
      </c>
      <c r="B614" s="795" t="str">
        <f t="shared" si="126"/>
        <v>II</v>
      </c>
      <c r="C614" s="796" t="s">
        <v>2077</v>
      </c>
      <c r="D614" s="795" t="str">
        <f t="shared" si="127"/>
        <v>I</v>
      </c>
      <c r="S614" s="796" t="s">
        <v>2078</v>
      </c>
      <c r="T614" s="796" t="str">
        <f t="shared" si="128"/>
        <v>III</v>
      </c>
    </row>
    <row r="615" spans="1:20" ht="15" customHeight="1">
      <c r="A615" s="796" t="s">
        <v>2079</v>
      </c>
      <c r="B615" s="795" t="str">
        <f t="shared" si="126"/>
        <v>V</v>
      </c>
      <c r="C615" s="796" t="s">
        <v>2080</v>
      </c>
      <c r="D615" s="795" t="str">
        <f t="shared" si="127"/>
        <v>IV</v>
      </c>
      <c r="S615" s="796" t="s">
        <v>2081</v>
      </c>
      <c r="T615" s="796" t="str">
        <f t="shared" si="128"/>
        <v>II</v>
      </c>
    </row>
    <row r="616" spans="1:20" ht="15" customHeight="1">
      <c r="C616" s="796" t="s">
        <v>2082</v>
      </c>
      <c r="D616" s="795" t="str">
        <f t="shared" si="127"/>
        <v>I</v>
      </c>
      <c r="S616" s="796" t="s">
        <v>2083</v>
      </c>
      <c r="T616" s="796" t="str">
        <f t="shared" si="128"/>
        <v>III</v>
      </c>
    </row>
    <row r="617" spans="1:20" ht="15" customHeight="1">
      <c r="C617" s="796" t="s">
        <v>2084</v>
      </c>
      <c r="D617" s="795" t="str">
        <f t="shared" si="127"/>
        <v>II</v>
      </c>
      <c r="S617" s="796" t="s">
        <v>2005</v>
      </c>
      <c r="T617" s="796" t="str">
        <f t="shared" si="128"/>
        <v>II</v>
      </c>
    </row>
    <row r="618" spans="1:20" ht="15" customHeight="1">
      <c r="C618" s="796" t="s">
        <v>2085</v>
      </c>
      <c r="D618" s="795" t="str">
        <f t="shared" si="127"/>
        <v>IV</v>
      </c>
      <c r="S618" s="796" t="s">
        <v>2086</v>
      </c>
      <c r="T618" s="796" t="str">
        <f t="shared" si="128"/>
        <v>II</v>
      </c>
    </row>
    <row r="619" spans="1:20" ht="15" customHeight="1">
      <c r="C619" s="796" t="s">
        <v>2087</v>
      </c>
      <c r="D619" s="795" t="str">
        <f t="shared" si="127"/>
        <v>I</v>
      </c>
      <c r="S619" s="796" t="s">
        <v>2088</v>
      </c>
      <c r="T619" s="796" t="str">
        <f t="shared" si="128"/>
        <v>V</v>
      </c>
    </row>
    <row r="620" spans="1:20" ht="15" customHeight="1">
      <c r="C620" s="796" t="s">
        <v>2089</v>
      </c>
      <c r="D620" s="795" t="str">
        <f t="shared" si="127"/>
        <v>VI</v>
      </c>
      <c r="S620" s="796" t="s">
        <v>2090</v>
      </c>
      <c r="T620" s="796" t="str">
        <f t="shared" si="128"/>
        <v>III</v>
      </c>
    </row>
    <row r="621" spans="1:20" ht="15" customHeight="1">
      <c r="C621" s="796" t="s">
        <v>2091</v>
      </c>
      <c r="D621" s="795" t="str">
        <f t="shared" si="127"/>
        <v>II</v>
      </c>
      <c r="S621" s="796" t="s">
        <v>2092</v>
      </c>
      <c r="T621" s="796" t="str">
        <f t="shared" si="128"/>
        <v>II</v>
      </c>
    </row>
    <row r="622" spans="1:20" ht="15" customHeight="1">
      <c r="C622" s="796" t="s">
        <v>2093</v>
      </c>
      <c r="D622" s="795" t="str">
        <f t="shared" si="127"/>
        <v>IV</v>
      </c>
      <c r="S622" s="796" t="s">
        <v>2094</v>
      </c>
      <c r="T622" s="796" t="str">
        <f t="shared" si="128"/>
        <v>II</v>
      </c>
    </row>
    <row r="623" spans="1:20" ht="15" customHeight="1">
      <c r="C623" s="796" t="s">
        <v>2095</v>
      </c>
      <c r="D623" s="795" t="str">
        <f t="shared" si="127"/>
        <v>II</v>
      </c>
      <c r="S623" s="796" t="s">
        <v>2096</v>
      </c>
      <c r="T623" s="796" t="str">
        <f t="shared" si="128"/>
        <v>IV</v>
      </c>
    </row>
    <row r="624" spans="1:20" ht="15" customHeight="1">
      <c r="S624" s="796" t="s">
        <v>2097</v>
      </c>
      <c r="T624" s="796" t="str">
        <f t="shared" si="128"/>
        <v>I</v>
      </c>
    </row>
    <row r="625" spans="19:20" ht="15" customHeight="1">
      <c r="S625" s="796" t="s">
        <v>2098</v>
      </c>
      <c r="T625" s="796" t="str">
        <f t="shared" si="128"/>
        <v>III</v>
      </c>
    </row>
    <row r="626" spans="19:20" ht="15" customHeight="1">
      <c r="S626" s="796" t="s">
        <v>2099</v>
      </c>
      <c r="T626" s="796" t="str">
        <f t="shared" si="128"/>
        <v>II</v>
      </c>
    </row>
    <row r="627" spans="19:20" ht="15" customHeight="1">
      <c r="S627" s="796" t="s">
        <v>2100</v>
      </c>
      <c r="T627" s="796" t="str">
        <f t="shared" si="128"/>
        <v>II</v>
      </c>
    </row>
    <row r="628" spans="19:20" ht="15" customHeight="1">
      <c r="S628" s="796" t="s">
        <v>2101</v>
      </c>
      <c r="T628" s="796" t="str">
        <f t="shared" si="128"/>
        <v>II</v>
      </c>
    </row>
    <row r="629" spans="19:20" ht="15" customHeight="1">
      <c r="S629" s="796" t="s">
        <v>2102</v>
      </c>
      <c r="T629" s="796" t="str">
        <f t="shared" si="128"/>
        <v>I</v>
      </c>
    </row>
    <row r="630" spans="19:20" ht="15" customHeight="1">
      <c r="S630" s="796" t="s">
        <v>2103</v>
      </c>
      <c r="T630" s="796" t="str">
        <f t="shared" si="128"/>
        <v>I</v>
      </c>
    </row>
    <row r="631" spans="19:20" ht="15" customHeight="1">
      <c r="S631" s="796" t="s">
        <v>2104</v>
      </c>
      <c r="T631" s="796" t="str">
        <f t="shared" si="128"/>
        <v>III</v>
      </c>
    </row>
    <row r="632" spans="19:20" ht="15" customHeight="1">
      <c r="S632" s="796" t="s">
        <v>2105</v>
      </c>
      <c r="T632" s="796" t="str">
        <f t="shared" si="128"/>
        <v>II</v>
      </c>
    </row>
    <row r="633" spans="19:20" ht="15" customHeight="1">
      <c r="S633" s="796" t="s">
        <v>2106</v>
      </c>
      <c r="T633" s="796" t="str">
        <f t="shared" si="128"/>
        <v>I</v>
      </c>
    </row>
    <row r="634" spans="19:20" ht="15" customHeight="1">
      <c r="S634" s="796" t="s">
        <v>2107</v>
      </c>
      <c r="T634" s="796" t="str">
        <f t="shared" si="128"/>
        <v>III</v>
      </c>
    </row>
    <row r="635" spans="19:20" ht="15" customHeight="1">
      <c r="S635" s="796" t="s">
        <v>2108</v>
      </c>
      <c r="T635" s="796" t="str">
        <f t="shared" si="128"/>
        <v>III</v>
      </c>
    </row>
    <row r="636" spans="19:20" ht="15" customHeight="1">
      <c r="S636" s="796" t="s">
        <v>2109</v>
      </c>
      <c r="T636" s="796" t="str">
        <f t="shared" si="128"/>
        <v>III</v>
      </c>
    </row>
    <row r="637" spans="19:20" ht="15" customHeight="1">
      <c r="S637" s="796" t="s">
        <v>2110</v>
      </c>
      <c r="T637" s="796" t="str">
        <f t="shared" si="128"/>
        <v>IV</v>
      </c>
    </row>
    <row r="638" spans="19:20" ht="15" customHeight="1">
      <c r="S638" s="796" t="s">
        <v>2111</v>
      </c>
      <c r="T638" s="796" t="str">
        <f t="shared" si="128"/>
        <v>II</v>
      </c>
    </row>
    <row r="639" spans="19:20" ht="15" customHeight="1">
      <c r="S639" s="796" t="s">
        <v>2112</v>
      </c>
      <c r="T639" s="796" t="str">
        <f t="shared" si="128"/>
        <v>III</v>
      </c>
    </row>
    <row r="640" spans="19:20" ht="15" customHeight="1">
      <c r="S640" s="796" t="s">
        <v>2113</v>
      </c>
      <c r="T640" s="796" t="str">
        <f t="shared" si="128"/>
        <v>III</v>
      </c>
    </row>
    <row r="641" spans="19:20" ht="15" customHeight="1">
      <c r="S641" s="796" t="s">
        <v>2114</v>
      </c>
      <c r="T641" s="796" t="str">
        <f t="shared" si="128"/>
        <v>I</v>
      </c>
    </row>
    <row r="642" spans="19:20" ht="15" customHeight="1">
      <c r="S642" s="796" t="s">
        <v>2115</v>
      </c>
      <c r="T642" s="796" t="str">
        <f t="shared" si="128"/>
        <v>II</v>
      </c>
    </row>
    <row r="643" spans="19:20" ht="15" customHeight="1">
      <c r="S643" s="796" t="s">
        <v>2116</v>
      </c>
      <c r="T643" s="796" t="str">
        <f t="shared" si="128"/>
        <v>I</v>
      </c>
    </row>
    <row r="644" spans="19:20" ht="15" customHeight="1">
      <c r="S644" s="796" t="s">
        <v>2117</v>
      </c>
      <c r="T644" s="796" t="str">
        <f t="shared" ref="T644:T682" si="129">VLOOKUP(S644,NRW,IF(Jahreszahl&lt;2020,3,2))</f>
        <v>III</v>
      </c>
    </row>
    <row r="645" spans="19:20" ht="15" customHeight="1">
      <c r="S645" s="796" t="s">
        <v>2118</v>
      </c>
      <c r="T645" s="796" t="str">
        <f t="shared" si="129"/>
        <v>I</v>
      </c>
    </row>
    <row r="646" spans="19:20" ht="15" customHeight="1">
      <c r="S646" s="796" t="s">
        <v>2119</v>
      </c>
      <c r="T646" s="796" t="str">
        <f t="shared" si="129"/>
        <v>III</v>
      </c>
    </row>
    <row r="647" spans="19:20" ht="15" customHeight="1">
      <c r="S647" s="796" t="s">
        <v>2120</v>
      </c>
      <c r="T647" s="796" t="str">
        <f t="shared" si="129"/>
        <v>I</v>
      </c>
    </row>
    <row r="648" spans="19:20" ht="15" customHeight="1">
      <c r="S648" s="796" t="s">
        <v>2121</v>
      </c>
      <c r="T648" s="796" t="str">
        <f t="shared" si="129"/>
        <v>IV</v>
      </c>
    </row>
    <row r="649" spans="19:20" ht="15" customHeight="1">
      <c r="S649" s="796" t="s">
        <v>2122</v>
      </c>
      <c r="T649" s="796" t="str">
        <f t="shared" si="129"/>
        <v>I</v>
      </c>
    </row>
    <row r="650" spans="19:20" ht="15" customHeight="1">
      <c r="S650" s="796" t="s">
        <v>2123</v>
      </c>
      <c r="T650" s="796" t="str">
        <f t="shared" si="129"/>
        <v>II</v>
      </c>
    </row>
    <row r="651" spans="19:20" ht="15" customHeight="1">
      <c r="S651" s="796" t="s">
        <v>2124</v>
      </c>
      <c r="T651" s="796" t="str">
        <f t="shared" si="129"/>
        <v>III</v>
      </c>
    </row>
    <row r="652" spans="19:20" ht="15" customHeight="1">
      <c r="S652" s="796" t="s">
        <v>2125</v>
      </c>
      <c r="T652" s="796" t="str">
        <f t="shared" si="129"/>
        <v>I</v>
      </c>
    </row>
    <row r="653" spans="19:20" ht="15" customHeight="1">
      <c r="S653" s="796" t="s">
        <v>2126</v>
      </c>
      <c r="T653" s="796" t="str">
        <f t="shared" si="129"/>
        <v>II</v>
      </c>
    </row>
    <row r="654" spans="19:20" ht="15" customHeight="1">
      <c r="S654" s="796" t="s">
        <v>2127</v>
      </c>
      <c r="T654" s="796" t="str">
        <f t="shared" si="129"/>
        <v>I</v>
      </c>
    </row>
    <row r="655" spans="19:20" ht="15" customHeight="1">
      <c r="S655" s="796" t="s">
        <v>2128</v>
      </c>
      <c r="T655" s="796" t="str">
        <f t="shared" si="129"/>
        <v>II</v>
      </c>
    </row>
    <row r="656" spans="19:20" ht="15" customHeight="1">
      <c r="S656" s="796" t="s">
        <v>2129</v>
      </c>
      <c r="T656" s="796" t="str">
        <f t="shared" si="129"/>
        <v>II</v>
      </c>
    </row>
    <row r="657" spans="19:20" ht="15" customHeight="1">
      <c r="S657" s="796" t="s">
        <v>2130</v>
      </c>
      <c r="T657" s="796" t="str">
        <f t="shared" si="129"/>
        <v>III</v>
      </c>
    </row>
    <row r="658" spans="19:20" ht="15" customHeight="1">
      <c r="S658" s="796" t="s">
        <v>2131</v>
      </c>
      <c r="T658" s="796" t="str">
        <f t="shared" si="129"/>
        <v>III</v>
      </c>
    </row>
    <row r="659" spans="19:20" ht="15" customHeight="1">
      <c r="S659" s="796" t="s">
        <v>2132</v>
      </c>
      <c r="T659" s="796" t="str">
        <f t="shared" si="129"/>
        <v>II</v>
      </c>
    </row>
    <row r="660" spans="19:20" ht="15" customHeight="1">
      <c r="S660" s="796" t="s">
        <v>2133</v>
      </c>
      <c r="T660" s="796" t="str">
        <f t="shared" si="129"/>
        <v>I</v>
      </c>
    </row>
    <row r="661" spans="19:20" ht="15" customHeight="1">
      <c r="S661" s="796" t="s">
        <v>2134</v>
      </c>
      <c r="T661" s="796" t="str">
        <f t="shared" si="129"/>
        <v>II</v>
      </c>
    </row>
    <row r="662" spans="19:20" ht="15" customHeight="1">
      <c r="S662" s="796" t="s">
        <v>2135</v>
      </c>
      <c r="T662" s="796" t="str">
        <f t="shared" si="129"/>
        <v>II</v>
      </c>
    </row>
    <row r="663" spans="19:20" ht="15" customHeight="1">
      <c r="S663" s="796" t="s">
        <v>2136</v>
      </c>
      <c r="T663" s="796" t="str">
        <f t="shared" si="129"/>
        <v>III</v>
      </c>
    </row>
    <row r="664" spans="19:20" ht="15" customHeight="1">
      <c r="S664" s="796" t="s">
        <v>2137</v>
      </c>
      <c r="T664" s="796" t="str">
        <f t="shared" si="129"/>
        <v>II</v>
      </c>
    </row>
    <row r="665" spans="19:20" ht="15" customHeight="1">
      <c r="S665" s="796" t="s">
        <v>2138</v>
      </c>
      <c r="T665" s="796" t="str">
        <f t="shared" si="129"/>
        <v>II</v>
      </c>
    </row>
    <row r="666" spans="19:20" ht="15" customHeight="1">
      <c r="S666" s="796" t="s">
        <v>2139</v>
      </c>
      <c r="T666" s="796" t="str">
        <f t="shared" si="129"/>
        <v>III</v>
      </c>
    </row>
    <row r="667" spans="19:20" ht="15" customHeight="1">
      <c r="S667" s="796" t="s">
        <v>2140</v>
      </c>
      <c r="T667" s="796" t="str">
        <f t="shared" si="129"/>
        <v>IV</v>
      </c>
    </row>
    <row r="668" spans="19:20" ht="15" customHeight="1">
      <c r="S668" s="796" t="s">
        <v>2141</v>
      </c>
      <c r="T668" s="796" t="str">
        <f t="shared" si="129"/>
        <v>I</v>
      </c>
    </row>
    <row r="669" spans="19:20" ht="15" customHeight="1">
      <c r="S669" s="796" t="s">
        <v>2142</v>
      </c>
      <c r="T669" s="796" t="str">
        <f t="shared" si="129"/>
        <v>III</v>
      </c>
    </row>
    <row r="670" spans="19:20" ht="15" customHeight="1">
      <c r="S670" s="796" t="s">
        <v>2143</v>
      </c>
      <c r="T670" s="796" t="str">
        <f t="shared" si="129"/>
        <v>II</v>
      </c>
    </row>
    <row r="671" spans="19:20" ht="15" customHeight="1">
      <c r="S671" s="796" t="s">
        <v>2144</v>
      </c>
      <c r="T671" s="796" t="str">
        <f t="shared" si="129"/>
        <v>II</v>
      </c>
    </row>
    <row r="672" spans="19:20" ht="15" customHeight="1">
      <c r="S672" s="796" t="s">
        <v>2145</v>
      </c>
      <c r="T672" s="796" t="str">
        <f t="shared" si="129"/>
        <v>IV</v>
      </c>
    </row>
    <row r="673" spans="1:20" ht="15" customHeight="1">
      <c r="S673" s="796" t="s">
        <v>2146</v>
      </c>
      <c r="T673" s="796" t="str">
        <f t="shared" si="129"/>
        <v>I</v>
      </c>
    </row>
    <row r="674" spans="1:20" ht="15" customHeight="1">
      <c r="S674" s="796" t="s">
        <v>2147</v>
      </c>
      <c r="T674" s="796" t="str">
        <f t="shared" si="129"/>
        <v>II</v>
      </c>
    </row>
    <row r="675" spans="1:20" ht="15" customHeight="1">
      <c r="S675" s="796" t="s">
        <v>2148</v>
      </c>
      <c r="T675" s="796" t="str">
        <f t="shared" si="129"/>
        <v>I</v>
      </c>
    </row>
    <row r="676" spans="1:20" ht="15" customHeight="1">
      <c r="S676" s="796" t="s">
        <v>2149</v>
      </c>
      <c r="T676" s="796" t="str">
        <f t="shared" si="129"/>
        <v>II</v>
      </c>
    </row>
    <row r="677" spans="1:20" ht="15" customHeight="1">
      <c r="S677" s="796" t="s">
        <v>2150</v>
      </c>
      <c r="T677" s="796" t="str">
        <f t="shared" si="129"/>
        <v>III</v>
      </c>
    </row>
    <row r="678" spans="1:20" ht="15" customHeight="1">
      <c r="S678" s="796" t="s">
        <v>2151</v>
      </c>
      <c r="T678" s="796" t="str">
        <f t="shared" si="129"/>
        <v>III</v>
      </c>
    </row>
    <row r="679" spans="1:20" ht="15" customHeight="1">
      <c r="S679" s="796" t="s">
        <v>2152</v>
      </c>
      <c r="T679" s="796" t="str">
        <f t="shared" si="129"/>
        <v>III</v>
      </c>
    </row>
    <row r="680" spans="1:20" ht="15" customHeight="1">
      <c r="S680" s="796" t="s">
        <v>2153</v>
      </c>
      <c r="T680" s="796" t="str">
        <f t="shared" si="129"/>
        <v>III</v>
      </c>
    </row>
    <row r="681" spans="1:20" ht="15" customHeight="1">
      <c r="S681" s="796" t="s">
        <v>2154</v>
      </c>
      <c r="T681" s="796" t="str">
        <f t="shared" si="129"/>
        <v>III</v>
      </c>
    </row>
    <row r="682" spans="1:20" ht="13.5">
      <c r="A682" s="796"/>
      <c r="B682" s="796"/>
      <c r="S682" s="796" t="s">
        <v>2155</v>
      </c>
      <c r="T682" s="796" t="str">
        <f t="shared" si="129"/>
        <v>II</v>
      </c>
    </row>
    <row r="683" spans="1:20" ht="13.5">
      <c r="A683" s="797" t="str">
        <f t="shared" ref="A683:A746" si="130">IF(AND(A324&gt;0,$D$251=1),INDEX(A324,1),IF(AND(C324&gt;0,$D$251=2),INDEX(C324,1),IF(AND(E324&gt;0,$D$251=3),INDEX(E324,1),IF(AND(G324&gt;0,$D$251=4),INDEX(G324,1),IF(AND(I324&gt;0,$D$251=5),INDEX(I324,1),IF(AND(K324&gt;0,$D$251=6),INDEX(K324,1),IF(AND(M324&gt;0,$D$251=7),INDEX(M324,1),IF(AND(O324&gt;0,$D$251=8),INDEX(O324,1),IF(AND(Q324&gt;0,$D$251=9),INDEX(Q324,1),IF(AND(S324&gt;0,$D$251=10),INDEX(S324,1),IF(AND(U324&gt;0,$D$251=11),INDEX(U324,1),IF(AND(W324&gt;0,$D$251=12),INDEX(W324,1),IF(AND(Y324&gt;0,$D$251=13),INDEX(Y324,1),IF(AND(AA324&gt;0,$D$251=14),INDEX(AA324,1),IF(AND(AC324&gt;0,$D$251=15),INDEX(AC324,1),IF(AND(AE324&gt;0,$D$251=16),INDEX(AE324,1),0))))))))))))))))</f>
        <v>Aachen, Stadt</v>
      </c>
      <c r="B683" s="797" t="str">
        <f t="shared" ref="B683:B746" si="131">IF(AND(B324&gt;0,$D$251=1),INDEX(B324,1),IF(AND(D324&gt;0,$D$251=2),INDEX(D324,1),IF(AND(F324&gt;0,$D$251=3),INDEX(F324,1),IF(AND(H324&gt;0,$D$251=4),INDEX(H324,1),IF(AND(J324&gt;0,$D$251=5),INDEX(J324,1),IF(AND(L324&gt;0,$D$251=6),INDEX(L324,1),IF(AND(N324&gt;0,$D$251=7),INDEX(N324,1),IF(AND(P324&gt;0,$D$251=8),INDEX(P324,1),IF(AND(R324&gt;0,$D$251=9),INDEX(R324,1),IF(AND(T324&gt;0,$D$251=10),INDEX(T324,1),IF(AND(V324&gt;0,$D$251=11),INDEX(V324,1),IF(AND(X324&gt;0,$D$251=12),INDEX(X324,1),IF(AND(Z324&gt;0,$D$251=13),INDEX(Z324,1),IF(AND(AB324&gt;0,$D$251=14),INDEX(AB324,1),IF(AND(AD324&gt;0,$D$251=15),INDEX(AD324,1),IF(AND(AF324&gt;0,$D$251=16),INDEX(AF324,1),0))))))))))))))))</f>
        <v>IV</v>
      </c>
      <c r="C683" s="798"/>
      <c r="D683" s="799"/>
      <c r="E683" s="800"/>
    </row>
    <row r="684" spans="1:20" ht="13.5">
      <c r="A684" s="797" t="str">
        <f t="shared" si="130"/>
        <v>Ahaus</v>
      </c>
      <c r="B684" s="797" t="str">
        <f t="shared" si="131"/>
        <v>II</v>
      </c>
      <c r="C684" s="798"/>
      <c r="D684" s="799"/>
      <c r="E684" s="800"/>
    </row>
    <row r="685" spans="1:20" ht="13.5">
      <c r="A685" s="797" t="str">
        <f t="shared" si="130"/>
        <v>Ahlen</v>
      </c>
      <c r="B685" s="797" t="str">
        <f t="shared" si="131"/>
        <v>II</v>
      </c>
      <c r="C685" s="798"/>
      <c r="D685" s="799"/>
      <c r="E685" s="800"/>
    </row>
    <row r="686" spans="1:20" ht="13.5">
      <c r="A686" s="797" t="str">
        <f t="shared" si="130"/>
        <v>Aldenhoven</v>
      </c>
      <c r="B686" s="797" t="str">
        <f t="shared" si="131"/>
        <v>III</v>
      </c>
      <c r="C686" s="798"/>
      <c r="D686" s="799"/>
      <c r="E686" s="800"/>
    </row>
    <row r="687" spans="1:20" ht="13.5">
      <c r="A687" s="797" t="str">
        <f t="shared" si="130"/>
        <v>Alfter</v>
      </c>
      <c r="B687" s="797" t="str">
        <f t="shared" si="131"/>
        <v>IV</v>
      </c>
      <c r="C687" s="798"/>
      <c r="D687" s="799"/>
      <c r="E687" s="800"/>
    </row>
    <row r="688" spans="1:20" ht="13.5">
      <c r="A688" s="797" t="str">
        <f t="shared" si="130"/>
        <v>Alpen</v>
      </c>
      <c r="B688" s="797" t="str">
        <f t="shared" si="131"/>
        <v>II</v>
      </c>
      <c r="C688" s="798"/>
      <c r="D688" s="799"/>
      <c r="E688" s="800"/>
    </row>
    <row r="689" spans="1:5" ht="13.5">
      <c r="A689" s="797" t="str">
        <f t="shared" si="130"/>
        <v>Alsdorf</v>
      </c>
      <c r="B689" s="797" t="str">
        <f t="shared" si="131"/>
        <v>II</v>
      </c>
      <c r="C689" s="798"/>
      <c r="D689" s="799"/>
      <c r="E689" s="800"/>
    </row>
    <row r="690" spans="1:5" ht="13.5">
      <c r="A690" s="797" t="str">
        <f t="shared" si="130"/>
        <v>Altena</v>
      </c>
      <c r="B690" s="797" t="str">
        <f t="shared" si="131"/>
        <v>I</v>
      </c>
      <c r="C690" s="798"/>
      <c r="D690" s="799"/>
      <c r="E690" s="800"/>
    </row>
    <row r="691" spans="1:5" ht="13.5">
      <c r="A691" s="797" t="str">
        <f t="shared" si="130"/>
        <v>Altenberge</v>
      </c>
      <c r="B691" s="797" t="str">
        <f t="shared" si="131"/>
        <v>II</v>
      </c>
      <c r="C691" s="798"/>
      <c r="D691" s="799"/>
      <c r="E691" s="800"/>
    </row>
    <row r="692" spans="1:5" ht="13.5">
      <c r="A692" s="797" t="str">
        <f t="shared" si="130"/>
        <v>Anröchte</v>
      </c>
      <c r="B692" s="797" t="str">
        <f t="shared" si="131"/>
        <v>I</v>
      </c>
      <c r="C692" s="798"/>
      <c r="D692" s="799"/>
      <c r="E692" s="800"/>
    </row>
    <row r="693" spans="1:5" ht="13.5">
      <c r="A693" s="797" t="str">
        <f t="shared" si="130"/>
        <v>Arnsberg</v>
      </c>
      <c r="B693" s="797" t="str">
        <f t="shared" si="131"/>
        <v>II</v>
      </c>
      <c r="C693" s="798"/>
      <c r="D693" s="799"/>
      <c r="E693" s="800"/>
    </row>
    <row r="694" spans="1:5" ht="13.5">
      <c r="A694" s="797" t="str">
        <f t="shared" si="130"/>
        <v>Ascheberg</v>
      </c>
      <c r="B694" s="797" t="str">
        <f t="shared" si="131"/>
        <v>II</v>
      </c>
      <c r="C694" s="798"/>
      <c r="D694" s="799"/>
      <c r="E694" s="800"/>
    </row>
    <row r="695" spans="1:5" ht="13.5">
      <c r="A695" s="797" t="str">
        <f t="shared" si="130"/>
        <v>Attendorn</v>
      </c>
      <c r="B695" s="797" t="str">
        <f t="shared" si="131"/>
        <v>II</v>
      </c>
      <c r="C695" s="798"/>
      <c r="D695" s="799"/>
      <c r="E695" s="800"/>
    </row>
    <row r="696" spans="1:5" ht="13.5">
      <c r="A696" s="797" t="str">
        <f t="shared" si="130"/>
        <v>Bad Berleburg</v>
      </c>
      <c r="B696" s="797" t="str">
        <f t="shared" si="131"/>
        <v>I</v>
      </c>
      <c r="C696" s="798"/>
      <c r="D696" s="799"/>
      <c r="E696" s="800"/>
    </row>
    <row r="697" spans="1:5" ht="13.5">
      <c r="A697" s="797" t="str">
        <f t="shared" si="130"/>
        <v>Bad Driburg</v>
      </c>
      <c r="B697" s="797" t="str">
        <f t="shared" si="131"/>
        <v>I</v>
      </c>
      <c r="C697" s="798"/>
      <c r="D697" s="799"/>
      <c r="E697" s="800"/>
    </row>
    <row r="698" spans="1:5" ht="13.5">
      <c r="A698" s="797" t="str">
        <f t="shared" si="130"/>
        <v>Bad Honnef</v>
      </c>
      <c r="B698" s="797" t="str">
        <f t="shared" si="131"/>
        <v>IV</v>
      </c>
      <c r="C698" s="798"/>
      <c r="D698" s="799"/>
      <c r="E698" s="800"/>
    </row>
    <row r="699" spans="1:5" ht="13.5">
      <c r="A699" s="797" t="str">
        <f t="shared" si="130"/>
        <v>Bad Laasphe</v>
      </c>
      <c r="B699" s="797" t="str">
        <f t="shared" si="131"/>
        <v>I</v>
      </c>
      <c r="C699" s="798"/>
      <c r="D699" s="799"/>
      <c r="E699" s="800"/>
    </row>
    <row r="700" spans="1:5" ht="13.5">
      <c r="A700" s="797" t="str">
        <f t="shared" si="130"/>
        <v>Bad Lippspringe</v>
      </c>
      <c r="B700" s="797" t="str">
        <f t="shared" si="131"/>
        <v>II</v>
      </c>
      <c r="C700" s="798"/>
      <c r="D700" s="799"/>
      <c r="E700" s="800"/>
    </row>
    <row r="701" spans="1:5" ht="13.5">
      <c r="A701" s="797" t="str">
        <f t="shared" si="130"/>
        <v>Bad Münstereifel</v>
      </c>
      <c r="B701" s="797" t="str">
        <f t="shared" si="131"/>
        <v>II</v>
      </c>
      <c r="C701" s="798"/>
      <c r="D701" s="799"/>
      <c r="E701" s="800"/>
    </row>
    <row r="702" spans="1:5" ht="13.5">
      <c r="A702" s="797" t="str">
        <f t="shared" si="130"/>
        <v>Bad Oeynhausen</v>
      </c>
      <c r="B702" s="797" t="str">
        <f t="shared" si="131"/>
        <v>II</v>
      </c>
      <c r="C702" s="798"/>
      <c r="D702" s="799"/>
      <c r="E702" s="800"/>
    </row>
    <row r="703" spans="1:5" ht="13.5">
      <c r="A703" s="797" t="str">
        <f t="shared" si="130"/>
        <v>Bad Salzuflen</v>
      </c>
      <c r="B703" s="797" t="str">
        <f t="shared" si="131"/>
        <v>II</v>
      </c>
      <c r="C703" s="798"/>
      <c r="D703" s="799"/>
      <c r="E703" s="800"/>
    </row>
    <row r="704" spans="1:5" ht="13.5">
      <c r="A704" s="797" t="str">
        <f t="shared" si="130"/>
        <v>Bad Sassendorf</v>
      </c>
      <c r="B704" s="797" t="str">
        <f t="shared" si="131"/>
        <v>II</v>
      </c>
      <c r="C704" s="798"/>
      <c r="D704" s="799"/>
      <c r="E704" s="800"/>
    </row>
    <row r="705" spans="1:5" ht="13.5">
      <c r="A705" s="797" t="str">
        <f t="shared" si="130"/>
        <v>Bad Wünnenberg</v>
      </c>
      <c r="B705" s="797" t="str">
        <f t="shared" si="131"/>
        <v>I</v>
      </c>
      <c r="C705" s="798"/>
      <c r="D705" s="799"/>
      <c r="E705" s="800"/>
    </row>
    <row r="706" spans="1:5" ht="13.5">
      <c r="A706" s="797" t="str">
        <f t="shared" si="130"/>
        <v>Baesweiler</v>
      </c>
      <c r="B706" s="797" t="str">
        <f t="shared" si="131"/>
        <v>II</v>
      </c>
      <c r="C706" s="798"/>
      <c r="D706" s="799"/>
      <c r="E706" s="800"/>
    </row>
    <row r="707" spans="1:5" ht="13.5">
      <c r="A707" s="797" t="str">
        <f t="shared" si="130"/>
        <v>Balve</v>
      </c>
      <c r="B707" s="797" t="str">
        <f t="shared" si="131"/>
        <v>I</v>
      </c>
      <c r="C707" s="798"/>
      <c r="D707" s="799"/>
      <c r="E707" s="800"/>
    </row>
    <row r="708" spans="1:5" ht="13.5">
      <c r="A708" s="797" t="str">
        <f t="shared" si="130"/>
        <v>Beckum</v>
      </c>
      <c r="B708" s="797" t="str">
        <f t="shared" si="131"/>
        <v>II</v>
      </c>
      <c r="C708" s="798"/>
      <c r="D708" s="799"/>
      <c r="E708" s="800"/>
    </row>
    <row r="709" spans="1:5" ht="13.5">
      <c r="A709" s="797" t="str">
        <f t="shared" si="130"/>
        <v>Bedburg</v>
      </c>
      <c r="B709" s="797" t="str">
        <f t="shared" si="131"/>
        <v>III</v>
      </c>
      <c r="C709" s="798"/>
      <c r="D709" s="799"/>
      <c r="E709" s="800"/>
    </row>
    <row r="710" spans="1:5" ht="13.5">
      <c r="A710" s="797" t="str">
        <f t="shared" si="130"/>
        <v>Bedburg-Hau</v>
      </c>
      <c r="B710" s="797" t="str">
        <f t="shared" si="131"/>
        <v>II</v>
      </c>
      <c r="C710" s="798"/>
      <c r="D710" s="799"/>
      <c r="E710" s="800"/>
    </row>
    <row r="711" spans="1:5" ht="13.5">
      <c r="A711" s="797" t="str">
        <f t="shared" si="130"/>
        <v>Bergheim</v>
      </c>
      <c r="B711" s="797" t="str">
        <f t="shared" si="131"/>
        <v>III</v>
      </c>
      <c r="C711" s="798"/>
      <c r="D711" s="799"/>
      <c r="E711" s="800"/>
    </row>
    <row r="712" spans="1:5" ht="13.5">
      <c r="A712" s="797" t="str">
        <f t="shared" si="130"/>
        <v>Bergisch-Gladbach</v>
      </c>
      <c r="B712" s="797" t="str">
        <f t="shared" si="131"/>
        <v>V</v>
      </c>
      <c r="C712" s="798"/>
      <c r="D712" s="799"/>
      <c r="E712" s="800"/>
    </row>
    <row r="713" spans="1:5" ht="13.5">
      <c r="A713" s="797" t="str">
        <f t="shared" si="130"/>
        <v>Bergkamen</v>
      </c>
      <c r="B713" s="797" t="str">
        <f t="shared" si="131"/>
        <v>III</v>
      </c>
      <c r="C713" s="798"/>
      <c r="D713" s="799"/>
      <c r="E713" s="800"/>
    </row>
    <row r="714" spans="1:5" ht="13.5">
      <c r="A714" s="797" t="str">
        <f t="shared" si="130"/>
        <v>Bergneustadt</v>
      </c>
      <c r="B714" s="797" t="str">
        <f t="shared" si="131"/>
        <v>II</v>
      </c>
      <c r="C714" s="798"/>
      <c r="D714" s="799"/>
      <c r="E714" s="800"/>
    </row>
    <row r="715" spans="1:5" ht="13.5">
      <c r="A715" s="797" t="str">
        <f t="shared" si="130"/>
        <v>Bestwig</v>
      </c>
      <c r="B715" s="797" t="str">
        <f t="shared" si="131"/>
        <v>I</v>
      </c>
      <c r="C715" s="798"/>
      <c r="D715" s="799"/>
      <c r="E715" s="800"/>
    </row>
    <row r="716" spans="1:5" ht="13.5">
      <c r="A716" s="797" t="str">
        <f t="shared" si="130"/>
        <v>Beverungen</v>
      </c>
      <c r="B716" s="797" t="str">
        <f t="shared" si="131"/>
        <v>I</v>
      </c>
      <c r="C716" s="798"/>
      <c r="D716" s="799"/>
      <c r="E716" s="800"/>
    </row>
    <row r="717" spans="1:5" ht="13.5">
      <c r="A717" s="797" t="str">
        <f t="shared" si="130"/>
        <v>Bielefeld</v>
      </c>
      <c r="B717" s="797" t="str">
        <f t="shared" si="131"/>
        <v>III</v>
      </c>
      <c r="C717" s="798"/>
      <c r="D717" s="799"/>
      <c r="E717" s="800"/>
    </row>
    <row r="718" spans="1:5" ht="13.5">
      <c r="A718" s="797" t="str">
        <f t="shared" si="130"/>
        <v>Billerbeck</v>
      </c>
      <c r="B718" s="797" t="str">
        <f t="shared" si="131"/>
        <v>I</v>
      </c>
      <c r="C718" s="798"/>
      <c r="D718" s="799"/>
      <c r="E718" s="800"/>
    </row>
    <row r="719" spans="1:5" ht="13.5">
      <c r="A719" s="797" t="str">
        <f t="shared" si="130"/>
        <v>Blomberg</v>
      </c>
      <c r="B719" s="797" t="str">
        <f t="shared" si="131"/>
        <v>I</v>
      </c>
      <c r="C719" s="798"/>
      <c r="D719" s="799"/>
      <c r="E719" s="800"/>
    </row>
    <row r="720" spans="1:5" ht="13.5">
      <c r="A720" s="797" t="str">
        <f t="shared" si="130"/>
        <v>Bocholt</v>
      </c>
      <c r="B720" s="797" t="str">
        <f t="shared" si="131"/>
        <v>III</v>
      </c>
      <c r="C720" s="798"/>
      <c r="D720" s="799"/>
      <c r="E720" s="800"/>
    </row>
    <row r="721" spans="1:5" ht="13.5">
      <c r="A721" s="797" t="str">
        <f t="shared" si="130"/>
        <v>Bochum</v>
      </c>
      <c r="B721" s="797" t="str">
        <f t="shared" si="131"/>
        <v>III</v>
      </c>
      <c r="C721" s="798"/>
      <c r="D721" s="799"/>
      <c r="E721" s="800"/>
    </row>
    <row r="722" spans="1:5" ht="13.5">
      <c r="A722" s="797" t="str">
        <f t="shared" si="130"/>
        <v>Bönen</v>
      </c>
      <c r="B722" s="797" t="str">
        <f t="shared" si="131"/>
        <v>II</v>
      </c>
      <c r="C722" s="798"/>
      <c r="D722" s="799"/>
      <c r="E722" s="800"/>
    </row>
    <row r="723" spans="1:5" ht="13.5">
      <c r="A723" s="797" t="str">
        <f t="shared" si="130"/>
        <v>Bonn</v>
      </c>
      <c r="B723" s="797" t="str">
        <f t="shared" si="131"/>
        <v>V</v>
      </c>
      <c r="C723" s="798"/>
      <c r="D723" s="799"/>
      <c r="E723" s="800"/>
    </row>
    <row r="724" spans="1:5" ht="13.5">
      <c r="A724" s="797" t="str">
        <f t="shared" si="130"/>
        <v>Borchen</v>
      </c>
      <c r="B724" s="797" t="str">
        <f t="shared" si="131"/>
        <v>I</v>
      </c>
      <c r="C724" s="798"/>
      <c r="D724" s="799"/>
      <c r="E724" s="800"/>
    </row>
    <row r="725" spans="1:5" ht="13.5">
      <c r="A725" s="797" t="str">
        <f t="shared" si="130"/>
        <v>Borken, Stadt</v>
      </c>
      <c r="B725" s="797" t="str">
        <f t="shared" si="131"/>
        <v>II</v>
      </c>
      <c r="C725" s="798"/>
      <c r="D725" s="799"/>
      <c r="E725" s="800"/>
    </row>
    <row r="726" spans="1:5" ht="13.5">
      <c r="A726" s="797" t="str">
        <f t="shared" si="130"/>
        <v>Bornheim</v>
      </c>
      <c r="B726" s="797" t="str">
        <f t="shared" si="131"/>
        <v>IV</v>
      </c>
      <c r="C726" s="798"/>
      <c r="D726" s="799"/>
      <c r="E726" s="800"/>
    </row>
    <row r="727" spans="1:5" ht="13.5">
      <c r="A727" s="797" t="str">
        <f t="shared" si="130"/>
        <v>Bottrop</v>
      </c>
      <c r="B727" s="797" t="str">
        <f t="shared" si="131"/>
        <v>III</v>
      </c>
      <c r="C727" s="798"/>
      <c r="D727" s="799"/>
      <c r="E727" s="800"/>
    </row>
    <row r="728" spans="1:5" ht="13.5">
      <c r="A728" s="797" t="str">
        <f t="shared" si="130"/>
        <v>Brakel</v>
      </c>
      <c r="B728" s="797" t="str">
        <f t="shared" si="131"/>
        <v>I</v>
      </c>
      <c r="C728" s="798"/>
      <c r="D728" s="799"/>
      <c r="E728" s="800"/>
    </row>
    <row r="729" spans="1:5" ht="13.5">
      <c r="A729" s="797" t="str">
        <f t="shared" si="130"/>
        <v>Brilon</v>
      </c>
      <c r="B729" s="797" t="str">
        <f t="shared" si="131"/>
        <v>I</v>
      </c>
      <c r="C729" s="798"/>
      <c r="D729" s="799"/>
      <c r="E729" s="800"/>
    </row>
    <row r="730" spans="1:5" ht="13.5">
      <c r="A730" s="797" t="str">
        <f t="shared" si="130"/>
        <v>Brüggen</v>
      </c>
      <c r="B730" s="797" t="str">
        <f t="shared" si="131"/>
        <v>II</v>
      </c>
      <c r="C730" s="798"/>
      <c r="D730" s="799"/>
      <c r="E730" s="800"/>
    </row>
    <row r="731" spans="1:5" ht="13.5">
      <c r="A731" s="797" t="str">
        <f t="shared" si="130"/>
        <v>Brühl</v>
      </c>
      <c r="B731" s="797" t="str">
        <f t="shared" si="131"/>
        <v>V</v>
      </c>
      <c r="C731" s="798"/>
      <c r="D731" s="799"/>
      <c r="E731" s="800"/>
    </row>
    <row r="732" spans="1:5" ht="13.5">
      <c r="A732" s="797" t="str">
        <f t="shared" si="130"/>
        <v>Bünde</v>
      </c>
      <c r="B732" s="797" t="str">
        <f t="shared" si="131"/>
        <v>II</v>
      </c>
      <c r="C732" s="798"/>
      <c r="D732" s="799"/>
      <c r="E732" s="800"/>
    </row>
    <row r="733" spans="1:5" ht="13.5">
      <c r="A733" s="797" t="str">
        <f t="shared" si="130"/>
        <v>Burbach</v>
      </c>
      <c r="B733" s="797" t="str">
        <f t="shared" si="131"/>
        <v>II</v>
      </c>
      <c r="C733" s="798"/>
      <c r="D733" s="799"/>
      <c r="E733" s="800"/>
    </row>
    <row r="734" spans="1:5" ht="13.5">
      <c r="A734" s="797" t="str">
        <f t="shared" si="130"/>
        <v>Büren</v>
      </c>
      <c r="B734" s="797" t="str">
        <f t="shared" si="131"/>
        <v>I</v>
      </c>
      <c r="C734" s="798"/>
      <c r="D734" s="799"/>
      <c r="E734" s="800"/>
    </row>
    <row r="735" spans="1:5" ht="13.5">
      <c r="A735" s="797" t="str">
        <f t="shared" si="130"/>
        <v>Burscheid</v>
      </c>
      <c r="B735" s="797" t="str">
        <f t="shared" si="131"/>
        <v>IV</v>
      </c>
      <c r="C735" s="798"/>
      <c r="D735" s="799"/>
      <c r="E735" s="800"/>
    </row>
    <row r="736" spans="1:5" ht="13.5">
      <c r="A736" s="797" t="str">
        <f t="shared" si="130"/>
        <v>Castrop-Rauxel</v>
      </c>
      <c r="B736" s="797" t="str">
        <f t="shared" si="131"/>
        <v>III</v>
      </c>
      <c r="C736" s="798"/>
      <c r="D736" s="799"/>
      <c r="E736" s="800"/>
    </row>
    <row r="737" spans="1:5" ht="13.5">
      <c r="A737" s="797" t="str">
        <f t="shared" si="130"/>
        <v>Coesfeld, Stadt</v>
      </c>
      <c r="B737" s="797" t="str">
        <f t="shared" si="131"/>
        <v>II</v>
      </c>
      <c r="C737" s="798"/>
      <c r="D737" s="799"/>
      <c r="E737" s="800"/>
    </row>
    <row r="738" spans="1:5" ht="13.5">
      <c r="A738" s="797" t="str">
        <f t="shared" si="130"/>
        <v>Datteln</v>
      </c>
      <c r="B738" s="797" t="str">
        <f t="shared" si="131"/>
        <v>II</v>
      </c>
      <c r="C738" s="798"/>
      <c r="D738" s="799"/>
      <c r="E738" s="800"/>
    </row>
    <row r="739" spans="1:5" ht="13.5">
      <c r="A739" s="797" t="str">
        <f t="shared" si="130"/>
        <v>Delbrück</v>
      </c>
      <c r="B739" s="797" t="str">
        <f t="shared" si="131"/>
        <v>II</v>
      </c>
      <c r="C739" s="798"/>
      <c r="D739" s="799"/>
      <c r="E739" s="800"/>
    </row>
    <row r="740" spans="1:5" ht="13.5">
      <c r="A740" s="797" t="str">
        <f t="shared" si="130"/>
        <v>Detmold</v>
      </c>
      <c r="B740" s="797" t="str">
        <f t="shared" si="131"/>
        <v>II</v>
      </c>
      <c r="C740" s="798"/>
      <c r="D740" s="799"/>
      <c r="E740" s="800"/>
    </row>
    <row r="741" spans="1:5" ht="13.5">
      <c r="A741" s="797" t="str">
        <f t="shared" si="130"/>
        <v>Dinslaken</v>
      </c>
      <c r="B741" s="797" t="str">
        <f t="shared" si="131"/>
        <v>III</v>
      </c>
      <c r="C741" s="798"/>
      <c r="D741" s="799"/>
      <c r="E741" s="800"/>
    </row>
    <row r="742" spans="1:5" ht="13.5">
      <c r="A742" s="797" t="str">
        <f t="shared" si="130"/>
        <v>Dormagen</v>
      </c>
      <c r="B742" s="797" t="str">
        <f t="shared" si="131"/>
        <v>IV</v>
      </c>
      <c r="C742" s="798"/>
      <c r="D742" s="799"/>
      <c r="E742" s="800"/>
    </row>
    <row r="743" spans="1:5" ht="13.5">
      <c r="A743" s="797" t="str">
        <f t="shared" si="130"/>
        <v>Dorsten</v>
      </c>
      <c r="B743" s="797" t="str">
        <f t="shared" si="131"/>
        <v>III</v>
      </c>
      <c r="C743" s="798"/>
      <c r="D743" s="799"/>
      <c r="E743" s="800"/>
    </row>
    <row r="744" spans="1:5" ht="13.5">
      <c r="A744" s="797" t="str">
        <f t="shared" si="130"/>
        <v>Dortmund</v>
      </c>
      <c r="B744" s="797" t="str">
        <f t="shared" si="131"/>
        <v>III</v>
      </c>
      <c r="C744" s="798"/>
      <c r="D744" s="799"/>
      <c r="E744" s="800"/>
    </row>
    <row r="745" spans="1:5" ht="13.5">
      <c r="A745" s="797" t="str">
        <f t="shared" si="130"/>
        <v>Drensteinfurt</v>
      </c>
      <c r="B745" s="797" t="str">
        <f t="shared" si="131"/>
        <v>II</v>
      </c>
      <c r="C745" s="798"/>
      <c r="D745" s="799"/>
      <c r="E745" s="800"/>
    </row>
    <row r="746" spans="1:5" ht="13.5">
      <c r="A746" s="797" t="str">
        <f t="shared" si="130"/>
        <v>Drolshagen</v>
      </c>
      <c r="B746" s="797" t="str">
        <f t="shared" si="131"/>
        <v>II</v>
      </c>
      <c r="C746" s="798"/>
      <c r="D746" s="799"/>
      <c r="E746" s="800"/>
    </row>
    <row r="747" spans="1:5" ht="13.5">
      <c r="A747" s="797" t="str">
        <f t="shared" ref="A747:A810" si="132">IF(AND(A388&gt;0,$D$251=1),INDEX(A388,1),IF(AND(C388&gt;0,$D$251=2),INDEX(C388,1),IF(AND(E388&gt;0,$D$251=3),INDEX(E388,1),IF(AND(G388&gt;0,$D$251=4),INDEX(G388,1),IF(AND(I388&gt;0,$D$251=5),INDEX(I388,1),IF(AND(K388&gt;0,$D$251=6),INDEX(K388,1),IF(AND(M388&gt;0,$D$251=7),INDEX(M388,1),IF(AND(O388&gt;0,$D$251=8),INDEX(O388,1),IF(AND(Q388&gt;0,$D$251=9),INDEX(Q388,1),IF(AND(S388&gt;0,$D$251=10),INDEX(S388,1),IF(AND(U388&gt;0,$D$251=11),INDEX(U388,1),IF(AND(W388&gt;0,$D$251=12),INDEX(W388,1),IF(AND(Y388&gt;0,$D$251=13),INDEX(Y388,1),IF(AND(AA388&gt;0,$D$251=14),INDEX(AA388,1),IF(AND(AC388&gt;0,$D$251=15),INDEX(AC388,1),IF(AND(AE388&gt;0,$D$251=16),INDEX(AE388,1),0))))))))))))))))</f>
        <v>Duisburg</v>
      </c>
      <c r="B747" s="797" t="str">
        <f t="shared" ref="B747:B810" si="133">IF(AND(B388&gt;0,$D$251=1),INDEX(B388,1),IF(AND(D388&gt;0,$D$251=2),INDEX(D388,1),IF(AND(F388&gt;0,$D$251=3),INDEX(F388,1),IF(AND(H388&gt;0,$D$251=4),INDEX(H388,1),IF(AND(J388&gt;0,$D$251=5),INDEX(J388,1),IF(AND(L388&gt;0,$D$251=6),INDEX(L388,1),IF(AND(N388&gt;0,$D$251=7),INDEX(N388,1),IF(AND(P388&gt;0,$D$251=8),INDEX(P388,1),IF(AND(R388&gt;0,$D$251=9),INDEX(R388,1),IF(AND(T388&gt;0,$D$251=10),INDEX(T388,1),IF(AND(V388&gt;0,$D$251=11),INDEX(V388,1),IF(AND(X388&gt;0,$D$251=12),INDEX(X388,1),IF(AND(Z388&gt;0,$D$251=13),INDEX(Z388,1),IF(AND(AB388&gt;0,$D$251=14),INDEX(AB388,1),IF(AND(AD388&gt;0,$D$251=15),INDEX(AD388,1),IF(AND(AF388&gt;0,$D$251=16),INDEX(AF388,1),0))))))))))))))))</f>
        <v>III</v>
      </c>
      <c r="C747" s="798"/>
      <c r="D747" s="799"/>
      <c r="E747" s="800"/>
    </row>
    <row r="748" spans="1:5" ht="13.5">
      <c r="A748" s="797" t="str">
        <f t="shared" si="132"/>
        <v>Dülmen</v>
      </c>
      <c r="B748" s="797" t="str">
        <f t="shared" si="133"/>
        <v>II</v>
      </c>
      <c r="C748" s="798"/>
      <c r="D748" s="799"/>
      <c r="E748" s="800"/>
    </row>
    <row r="749" spans="1:5" ht="13.5">
      <c r="A749" s="797" t="str">
        <f t="shared" si="132"/>
        <v>Düren, Stadt</v>
      </c>
      <c r="B749" s="797" t="str">
        <f t="shared" si="133"/>
        <v>III</v>
      </c>
      <c r="C749" s="798"/>
      <c r="D749" s="799"/>
      <c r="E749" s="800"/>
    </row>
    <row r="750" spans="1:5" ht="13.5">
      <c r="A750" s="797" t="str">
        <f t="shared" si="132"/>
        <v>Düsseldorf</v>
      </c>
      <c r="B750" s="797" t="str">
        <f t="shared" si="133"/>
        <v>VI</v>
      </c>
      <c r="C750" s="798"/>
      <c r="D750" s="799"/>
      <c r="E750" s="800"/>
    </row>
    <row r="751" spans="1:5" ht="13.5">
      <c r="A751" s="797" t="str">
        <f t="shared" si="132"/>
        <v>Eitorf</v>
      </c>
      <c r="B751" s="797" t="str">
        <f t="shared" si="133"/>
        <v>II</v>
      </c>
      <c r="C751" s="798"/>
      <c r="D751" s="799"/>
      <c r="E751" s="800"/>
    </row>
    <row r="752" spans="1:5" ht="13.5">
      <c r="A752" s="797" t="str">
        <f t="shared" si="132"/>
        <v>Elsdorf</v>
      </c>
      <c r="B752" s="797" t="str">
        <f t="shared" si="133"/>
        <v>III</v>
      </c>
      <c r="C752" s="798"/>
      <c r="D752" s="799"/>
      <c r="E752" s="800"/>
    </row>
    <row r="753" spans="1:5" ht="13.5">
      <c r="A753" s="797" t="str">
        <f t="shared" si="132"/>
        <v>Emmerich am Rhein</v>
      </c>
      <c r="B753" s="797" t="str">
        <f t="shared" si="133"/>
        <v>II</v>
      </c>
      <c r="C753" s="798"/>
      <c r="D753" s="799"/>
      <c r="E753" s="800"/>
    </row>
    <row r="754" spans="1:5" ht="13.5">
      <c r="A754" s="797" t="str">
        <f t="shared" si="132"/>
        <v>Emsdetten</v>
      </c>
      <c r="B754" s="797" t="str">
        <f t="shared" si="133"/>
        <v>II</v>
      </c>
      <c r="C754" s="798"/>
      <c r="D754" s="799"/>
      <c r="E754" s="800"/>
    </row>
    <row r="755" spans="1:5" ht="13.5">
      <c r="A755" s="797" t="str">
        <f t="shared" si="132"/>
        <v>Engelskirchen</v>
      </c>
      <c r="B755" s="797" t="str">
        <f t="shared" si="133"/>
        <v>III</v>
      </c>
      <c r="C755" s="798"/>
      <c r="D755" s="799"/>
      <c r="E755" s="800"/>
    </row>
    <row r="756" spans="1:5" ht="13.5">
      <c r="A756" s="797" t="str">
        <f t="shared" si="132"/>
        <v>Enger</v>
      </c>
      <c r="B756" s="797" t="str">
        <f t="shared" si="133"/>
        <v>II</v>
      </c>
      <c r="C756" s="798"/>
      <c r="D756" s="799"/>
      <c r="E756" s="800"/>
    </row>
    <row r="757" spans="1:5" ht="13.5">
      <c r="A757" s="797" t="str">
        <f t="shared" si="132"/>
        <v>Ennepetal</v>
      </c>
      <c r="B757" s="797" t="str">
        <f t="shared" si="133"/>
        <v>III</v>
      </c>
      <c r="C757" s="798"/>
      <c r="D757" s="799"/>
      <c r="E757" s="800"/>
    </row>
    <row r="758" spans="1:5" ht="13.5">
      <c r="A758" s="797" t="str">
        <f t="shared" si="132"/>
        <v>Ennigerloh</v>
      </c>
      <c r="B758" s="797" t="str">
        <f t="shared" si="133"/>
        <v>I</v>
      </c>
      <c r="C758" s="798"/>
      <c r="D758" s="799"/>
      <c r="E758" s="800"/>
    </row>
    <row r="759" spans="1:5" ht="13.5">
      <c r="A759" s="797" t="str">
        <f t="shared" si="132"/>
        <v>Ense</v>
      </c>
      <c r="B759" s="797" t="str">
        <f t="shared" si="133"/>
        <v>I</v>
      </c>
      <c r="C759" s="798"/>
      <c r="D759" s="799"/>
      <c r="E759" s="800"/>
    </row>
    <row r="760" spans="1:5" ht="13.5">
      <c r="A760" s="797" t="str">
        <f t="shared" si="132"/>
        <v>Erftstadt</v>
      </c>
      <c r="B760" s="797" t="str">
        <f t="shared" si="133"/>
        <v>IV</v>
      </c>
      <c r="C760" s="798"/>
      <c r="D760" s="799"/>
      <c r="E760" s="800"/>
    </row>
    <row r="761" spans="1:5" ht="13.5">
      <c r="A761" s="797" t="str">
        <f t="shared" si="132"/>
        <v>Erkelenz</v>
      </c>
      <c r="B761" s="797" t="str">
        <f t="shared" si="133"/>
        <v>II</v>
      </c>
      <c r="C761" s="798"/>
      <c r="D761" s="799"/>
      <c r="E761" s="800"/>
    </row>
    <row r="762" spans="1:5" ht="13.5">
      <c r="A762" s="797" t="str">
        <f t="shared" si="132"/>
        <v>Erkrath</v>
      </c>
      <c r="B762" s="797" t="str">
        <f t="shared" si="133"/>
        <v>IV</v>
      </c>
      <c r="C762" s="798"/>
      <c r="D762" s="799"/>
      <c r="E762" s="800"/>
    </row>
    <row r="763" spans="1:5" ht="13.5">
      <c r="A763" s="797" t="str">
        <f t="shared" si="132"/>
        <v>Erwitte</v>
      </c>
      <c r="B763" s="797" t="str">
        <f t="shared" si="133"/>
        <v>I</v>
      </c>
      <c r="C763" s="798"/>
      <c r="D763" s="799"/>
      <c r="E763" s="800"/>
    </row>
    <row r="764" spans="1:5" ht="13.5">
      <c r="A764" s="797" t="str">
        <f t="shared" si="132"/>
        <v>Eschweiler</v>
      </c>
      <c r="B764" s="797" t="str">
        <f t="shared" si="133"/>
        <v>III</v>
      </c>
      <c r="C764" s="798"/>
      <c r="D764" s="799"/>
      <c r="E764" s="800"/>
    </row>
    <row r="765" spans="1:5" ht="13.5">
      <c r="A765" s="797" t="str">
        <f t="shared" si="132"/>
        <v>Espelkamp</v>
      </c>
      <c r="B765" s="797" t="str">
        <f t="shared" si="133"/>
        <v>II</v>
      </c>
      <c r="C765" s="798"/>
      <c r="D765" s="799"/>
      <c r="E765" s="800"/>
    </row>
    <row r="766" spans="1:5" ht="13.5">
      <c r="A766" s="797" t="str">
        <f t="shared" si="132"/>
        <v>Essen</v>
      </c>
      <c r="B766" s="797" t="str">
        <f t="shared" si="133"/>
        <v>IV</v>
      </c>
      <c r="C766" s="798"/>
      <c r="D766" s="799"/>
      <c r="E766" s="800"/>
    </row>
    <row r="767" spans="1:5" ht="13.5">
      <c r="A767" s="797" t="str">
        <f t="shared" si="132"/>
        <v>Euskirchen, Stadt</v>
      </c>
      <c r="B767" s="797" t="str">
        <f t="shared" si="133"/>
        <v>III</v>
      </c>
      <c r="C767" s="798"/>
      <c r="D767" s="799"/>
      <c r="E767" s="800"/>
    </row>
    <row r="768" spans="1:5" ht="13.5">
      <c r="A768" s="797" t="str">
        <f t="shared" si="132"/>
        <v>Extertal</v>
      </c>
      <c r="B768" s="797" t="str">
        <f t="shared" si="133"/>
        <v>I</v>
      </c>
      <c r="C768" s="798"/>
      <c r="D768" s="799"/>
      <c r="E768" s="800"/>
    </row>
    <row r="769" spans="1:5" ht="13.5">
      <c r="A769" s="797" t="str">
        <f t="shared" si="132"/>
        <v>Finnentrop</v>
      </c>
      <c r="B769" s="797" t="str">
        <f t="shared" si="133"/>
        <v>I</v>
      </c>
      <c r="C769" s="798"/>
      <c r="D769" s="799"/>
      <c r="E769" s="800"/>
    </row>
    <row r="770" spans="1:5" ht="13.5">
      <c r="A770" s="797" t="str">
        <f t="shared" si="132"/>
        <v>Frechen</v>
      </c>
      <c r="B770" s="797" t="str">
        <f t="shared" si="133"/>
        <v>V</v>
      </c>
      <c r="C770" s="798"/>
      <c r="D770" s="799"/>
      <c r="E770" s="800"/>
    </row>
    <row r="771" spans="1:5" ht="13.5">
      <c r="A771" s="797" t="str">
        <f t="shared" si="132"/>
        <v>Freudenberg</v>
      </c>
      <c r="B771" s="797" t="str">
        <f t="shared" si="133"/>
        <v>II</v>
      </c>
      <c r="C771" s="798"/>
      <c r="D771" s="799"/>
      <c r="E771" s="800"/>
    </row>
    <row r="772" spans="1:5" ht="13.5">
      <c r="A772" s="797" t="str">
        <f t="shared" si="132"/>
        <v>Fröndenberg</v>
      </c>
      <c r="B772" s="797" t="str">
        <f t="shared" si="133"/>
        <v>II</v>
      </c>
      <c r="C772" s="798"/>
      <c r="D772" s="799"/>
      <c r="E772" s="800"/>
    </row>
    <row r="773" spans="1:5" ht="13.5">
      <c r="A773" s="797" t="str">
        <f t="shared" si="132"/>
        <v>Gangelt</v>
      </c>
      <c r="B773" s="797" t="str">
        <f t="shared" si="133"/>
        <v>I</v>
      </c>
      <c r="C773" s="798"/>
      <c r="D773" s="799"/>
      <c r="E773" s="800"/>
    </row>
    <row r="774" spans="1:5" ht="13.5">
      <c r="A774" s="797" t="str">
        <f t="shared" si="132"/>
        <v>Geilenkirchen</v>
      </c>
      <c r="B774" s="797" t="str">
        <f t="shared" si="133"/>
        <v>II</v>
      </c>
      <c r="C774" s="798"/>
      <c r="D774" s="799"/>
      <c r="E774" s="800"/>
    </row>
    <row r="775" spans="1:5" ht="13.5">
      <c r="A775" s="797" t="str">
        <f t="shared" si="132"/>
        <v>Geldern</v>
      </c>
      <c r="B775" s="797" t="str">
        <f t="shared" si="133"/>
        <v>III</v>
      </c>
      <c r="C775" s="798"/>
      <c r="D775" s="799"/>
      <c r="E775" s="800"/>
    </row>
    <row r="776" spans="1:5" ht="13.5">
      <c r="A776" s="797" t="str">
        <f t="shared" si="132"/>
        <v>Gelsenkirchen</v>
      </c>
      <c r="B776" s="797" t="str">
        <f t="shared" si="133"/>
        <v>II</v>
      </c>
      <c r="C776" s="798"/>
      <c r="D776" s="799"/>
      <c r="E776" s="800"/>
    </row>
    <row r="777" spans="1:5" ht="13.5">
      <c r="A777" s="797" t="str">
        <f t="shared" si="132"/>
        <v>Gescher</v>
      </c>
      <c r="B777" s="797" t="str">
        <f t="shared" si="133"/>
        <v>II</v>
      </c>
      <c r="C777" s="798"/>
      <c r="D777" s="799"/>
      <c r="E777" s="800"/>
    </row>
    <row r="778" spans="1:5" ht="13.5">
      <c r="A778" s="797" t="str">
        <f t="shared" si="132"/>
        <v>Geseke</v>
      </c>
      <c r="B778" s="797" t="str">
        <f t="shared" si="133"/>
        <v>II</v>
      </c>
      <c r="C778" s="798"/>
      <c r="D778" s="799"/>
      <c r="E778" s="800"/>
    </row>
    <row r="779" spans="1:5" ht="13.5">
      <c r="A779" s="797" t="str">
        <f t="shared" si="132"/>
        <v>Gevelsberg</v>
      </c>
      <c r="B779" s="797" t="str">
        <f t="shared" si="133"/>
        <v>III</v>
      </c>
      <c r="C779" s="798"/>
      <c r="D779" s="799"/>
      <c r="E779" s="800"/>
    </row>
    <row r="780" spans="1:5" ht="13.5">
      <c r="A780" s="797" t="str">
        <f t="shared" si="132"/>
        <v>Gladbeck</v>
      </c>
      <c r="B780" s="797" t="str">
        <f t="shared" si="133"/>
        <v>II</v>
      </c>
      <c r="C780" s="798"/>
      <c r="D780" s="799"/>
      <c r="E780" s="800"/>
    </row>
    <row r="781" spans="1:5" ht="13.5">
      <c r="A781" s="797" t="str">
        <f t="shared" si="132"/>
        <v>Goch</v>
      </c>
      <c r="B781" s="797" t="str">
        <f t="shared" si="133"/>
        <v>II</v>
      </c>
      <c r="C781" s="798"/>
      <c r="D781" s="799"/>
      <c r="E781" s="800"/>
    </row>
    <row r="782" spans="1:5" ht="13.5">
      <c r="A782" s="797" t="str">
        <f t="shared" si="132"/>
        <v>Grefrath</v>
      </c>
      <c r="B782" s="797" t="str">
        <f t="shared" si="133"/>
        <v>III</v>
      </c>
      <c r="C782" s="798"/>
      <c r="D782" s="799"/>
      <c r="E782" s="800"/>
    </row>
    <row r="783" spans="1:5" ht="13.5">
      <c r="A783" s="797" t="str">
        <f t="shared" si="132"/>
        <v>Greven</v>
      </c>
      <c r="B783" s="797" t="str">
        <f t="shared" si="133"/>
        <v>III</v>
      </c>
      <c r="C783" s="798"/>
      <c r="D783" s="799"/>
      <c r="E783" s="800"/>
    </row>
    <row r="784" spans="1:5" ht="13.5">
      <c r="A784" s="797" t="str">
        <f t="shared" si="132"/>
        <v>Grevenbroich</v>
      </c>
      <c r="B784" s="797" t="str">
        <f t="shared" si="133"/>
        <v>IV</v>
      </c>
      <c r="C784" s="798"/>
      <c r="D784" s="799"/>
      <c r="E784" s="800"/>
    </row>
    <row r="785" spans="1:5" ht="13.5">
      <c r="A785" s="797" t="str">
        <f t="shared" si="132"/>
        <v>Gronau (Westfalen)</v>
      </c>
      <c r="B785" s="797" t="str">
        <f t="shared" si="133"/>
        <v>II</v>
      </c>
      <c r="C785" s="798"/>
      <c r="D785" s="799"/>
      <c r="E785" s="800"/>
    </row>
    <row r="786" spans="1:5" ht="13.5">
      <c r="A786" s="797" t="str">
        <f t="shared" si="132"/>
        <v>Gummersbach</v>
      </c>
      <c r="B786" s="797" t="str">
        <f t="shared" si="133"/>
        <v>II</v>
      </c>
      <c r="C786" s="798"/>
      <c r="D786" s="799"/>
      <c r="E786" s="800"/>
    </row>
    <row r="787" spans="1:5" ht="13.5">
      <c r="A787" s="797" t="str">
        <f t="shared" si="132"/>
        <v>Gütersloh, Stadt</v>
      </c>
      <c r="B787" s="797" t="str">
        <f t="shared" si="133"/>
        <v>III</v>
      </c>
      <c r="C787" s="798"/>
      <c r="D787" s="799"/>
      <c r="E787" s="800"/>
    </row>
    <row r="788" spans="1:5" ht="13.5">
      <c r="A788" s="797" t="str">
        <f t="shared" si="132"/>
        <v>Haan</v>
      </c>
      <c r="B788" s="797" t="str">
        <f t="shared" si="133"/>
        <v>IV</v>
      </c>
      <c r="C788" s="798"/>
      <c r="D788" s="799"/>
      <c r="E788" s="800"/>
    </row>
    <row r="789" spans="1:5" ht="13.5">
      <c r="A789" s="797" t="str">
        <f t="shared" si="132"/>
        <v>Hagen</v>
      </c>
      <c r="B789" s="797" t="str">
        <f t="shared" si="133"/>
        <v>III</v>
      </c>
      <c r="C789" s="798"/>
      <c r="D789" s="799"/>
      <c r="E789" s="800"/>
    </row>
    <row r="790" spans="1:5" ht="13.5">
      <c r="A790" s="797" t="str">
        <f t="shared" si="132"/>
        <v>Halle (Westfalen)</v>
      </c>
      <c r="B790" s="797" t="str">
        <f t="shared" si="133"/>
        <v>II</v>
      </c>
      <c r="C790" s="798"/>
      <c r="D790" s="799"/>
      <c r="E790" s="800"/>
    </row>
    <row r="791" spans="1:5" ht="13.5">
      <c r="A791" s="797" t="str">
        <f t="shared" si="132"/>
        <v>Haltern am See</v>
      </c>
      <c r="B791" s="797" t="str">
        <f t="shared" si="133"/>
        <v>III</v>
      </c>
      <c r="C791" s="798"/>
      <c r="D791" s="799"/>
      <c r="E791" s="800"/>
    </row>
    <row r="792" spans="1:5" ht="13.5">
      <c r="A792" s="797" t="str">
        <f t="shared" si="132"/>
        <v>Halver</v>
      </c>
      <c r="B792" s="797" t="str">
        <f t="shared" si="133"/>
        <v>III</v>
      </c>
      <c r="C792" s="798"/>
      <c r="D792" s="799"/>
      <c r="E792" s="800"/>
    </row>
    <row r="793" spans="1:5" ht="13.5">
      <c r="A793" s="797" t="str">
        <f t="shared" si="132"/>
        <v>Hamm</v>
      </c>
      <c r="B793" s="797" t="str">
        <f t="shared" si="133"/>
        <v>II</v>
      </c>
      <c r="C793" s="798"/>
      <c r="D793" s="799"/>
      <c r="E793" s="800"/>
    </row>
    <row r="794" spans="1:5" ht="13.5">
      <c r="A794" s="797" t="str">
        <f t="shared" si="132"/>
        <v>Hamminkeln</v>
      </c>
      <c r="B794" s="797" t="str">
        <f t="shared" si="133"/>
        <v>II</v>
      </c>
      <c r="C794" s="798"/>
      <c r="D794" s="799"/>
      <c r="E794" s="800"/>
    </row>
    <row r="795" spans="1:5" ht="13.5">
      <c r="A795" s="797" t="str">
        <f t="shared" si="132"/>
        <v>Harsewinkel</v>
      </c>
      <c r="B795" s="797" t="str">
        <f t="shared" si="133"/>
        <v>II</v>
      </c>
      <c r="C795" s="798"/>
      <c r="D795" s="799"/>
      <c r="E795" s="800"/>
    </row>
    <row r="796" spans="1:5" ht="13.5">
      <c r="A796" s="797" t="str">
        <f t="shared" si="132"/>
        <v>Hattingen</v>
      </c>
      <c r="B796" s="797" t="str">
        <f t="shared" si="133"/>
        <v>III</v>
      </c>
      <c r="C796" s="798"/>
      <c r="D796" s="799"/>
      <c r="E796" s="800"/>
    </row>
    <row r="797" spans="1:5" ht="13.5">
      <c r="A797" s="797" t="str">
        <f t="shared" si="132"/>
        <v>Havixbeck</v>
      </c>
      <c r="B797" s="797" t="str">
        <f t="shared" si="133"/>
        <v>III</v>
      </c>
      <c r="C797" s="798"/>
      <c r="D797" s="799"/>
      <c r="E797" s="800"/>
    </row>
    <row r="798" spans="1:5" ht="13.5">
      <c r="A798" s="797" t="str">
        <f t="shared" si="132"/>
        <v>Heiligenhaus</v>
      </c>
      <c r="B798" s="797" t="str">
        <f t="shared" si="133"/>
        <v>IV</v>
      </c>
      <c r="C798" s="798"/>
      <c r="D798" s="799"/>
      <c r="E798" s="800"/>
    </row>
    <row r="799" spans="1:5" ht="13.5">
      <c r="A799" s="797" t="str">
        <f t="shared" si="132"/>
        <v>Heinsberg, Stadt</v>
      </c>
      <c r="B799" s="797" t="str">
        <f t="shared" si="133"/>
        <v>II</v>
      </c>
      <c r="C799" s="798"/>
      <c r="D799" s="799"/>
      <c r="E799" s="800"/>
    </row>
    <row r="800" spans="1:5" ht="13.5">
      <c r="A800" s="797" t="str">
        <f t="shared" si="132"/>
        <v>Hemer</v>
      </c>
      <c r="B800" s="797" t="str">
        <f t="shared" si="133"/>
        <v>II</v>
      </c>
      <c r="C800" s="798"/>
      <c r="D800" s="799"/>
      <c r="E800" s="800"/>
    </row>
    <row r="801" spans="1:5" ht="13.5">
      <c r="A801" s="797" t="str">
        <f t="shared" si="132"/>
        <v>Hennef (Sieg)</v>
      </c>
      <c r="B801" s="797" t="str">
        <f t="shared" si="133"/>
        <v>IV</v>
      </c>
      <c r="C801" s="798"/>
      <c r="D801" s="799"/>
      <c r="E801" s="800"/>
    </row>
    <row r="802" spans="1:5" ht="13.5">
      <c r="A802" s="797" t="str">
        <f t="shared" si="132"/>
        <v>Herdecke</v>
      </c>
      <c r="B802" s="797" t="str">
        <f t="shared" si="133"/>
        <v>III</v>
      </c>
      <c r="C802" s="798"/>
      <c r="D802" s="799"/>
      <c r="E802" s="800"/>
    </row>
    <row r="803" spans="1:5" ht="13.5">
      <c r="A803" s="797" t="str">
        <f t="shared" si="132"/>
        <v>Herford, Stadt</v>
      </c>
      <c r="B803" s="797" t="str">
        <f t="shared" si="133"/>
        <v>II</v>
      </c>
      <c r="C803" s="798"/>
      <c r="D803" s="799"/>
      <c r="E803" s="800"/>
    </row>
    <row r="804" spans="1:5" ht="13.5">
      <c r="A804" s="797" t="str">
        <f t="shared" si="132"/>
        <v>Herne</v>
      </c>
      <c r="B804" s="797" t="str">
        <f t="shared" si="133"/>
        <v>II</v>
      </c>
      <c r="C804" s="798"/>
      <c r="D804" s="799"/>
      <c r="E804" s="800"/>
    </row>
    <row r="805" spans="1:5" ht="13.5">
      <c r="A805" s="797" t="str">
        <f t="shared" si="132"/>
        <v>Herten</v>
      </c>
      <c r="B805" s="797" t="str">
        <f t="shared" si="133"/>
        <v>III</v>
      </c>
      <c r="C805" s="798"/>
      <c r="D805" s="799"/>
      <c r="E805" s="800"/>
    </row>
    <row r="806" spans="1:5" ht="13.5">
      <c r="A806" s="797" t="str">
        <f t="shared" si="132"/>
        <v>Herzebrock-Clarholz</v>
      </c>
      <c r="B806" s="797" t="str">
        <f t="shared" si="133"/>
        <v>II</v>
      </c>
      <c r="C806" s="798"/>
      <c r="D806" s="799"/>
      <c r="E806" s="800"/>
    </row>
    <row r="807" spans="1:5" ht="13.5">
      <c r="A807" s="797" t="str">
        <f t="shared" si="132"/>
        <v>Herzogenrath</v>
      </c>
      <c r="B807" s="797" t="str">
        <f t="shared" si="133"/>
        <v>III</v>
      </c>
      <c r="C807" s="798"/>
      <c r="D807" s="799"/>
      <c r="E807" s="800"/>
    </row>
    <row r="808" spans="1:5" ht="13.5">
      <c r="A808" s="797" t="str">
        <f t="shared" si="132"/>
        <v>Hiddenhausen</v>
      </c>
      <c r="B808" s="797" t="str">
        <f t="shared" si="133"/>
        <v>II</v>
      </c>
      <c r="C808" s="798"/>
      <c r="D808" s="799"/>
      <c r="E808" s="800"/>
    </row>
    <row r="809" spans="1:5" ht="13.5">
      <c r="A809" s="797" t="str">
        <f t="shared" si="132"/>
        <v>Hilchenbach</v>
      </c>
      <c r="B809" s="797" t="str">
        <f t="shared" si="133"/>
        <v>II</v>
      </c>
      <c r="C809" s="798"/>
      <c r="D809" s="799"/>
      <c r="E809" s="800"/>
    </row>
    <row r="810" spans="1:5" ht="13.5">
      <c r="A810" s="797" t="str">
        <f t="shared" si="132"/>
        <v>Hilden</v>
      </c>
      <c r="B810" s="797" t="str">
        <f t="shared" si="133"/>
        <v>V</v>
      </c>
      <c r="C810" s="798"/>
      <c r="D810" s="799"/>
      <c r="E810" s="800"/>
    </row>
    <row r="811" spans="1:5" ht="13.5">
      <c r="A811" s="797" t="str">
        <f t="shared" ref="A811:A874" si="134">IF(AND(A452&gt;0,$D$251=1),INDEX(A452,1),IF(AND(C452&gt;0,$D$251=2),INDEX(C452,1),IF(AND(E452&gt;0,$D$251=3),INDEX(E452,1),IF(AND(G452&gt;0,$D$251=4),INDEX(G452,1),IF(AND(I452&gt;0,$D$251=5),INDEX(I452,1),IF(AND(K452&gt;0,$D$251=6),INDEX(K452,1),IF(AND(M452&gt;0,$D$251=7),INDEX(M452,1),IF(AND(O452&gt;0,$D$251=8),INDEX(O452,1),IF(AND(Q452&gt;0,$D$251=9),INDEX(Q452,1),IF(AND(S452&gt;0,$D$251=10),INDEX(S452,1),IF(AND(U452&gt;0,$D$251=11),INDEX(U452,1),IF(AND(W452&gt;0,$D$251=12),INDEX(W452,1),IF(AND(Y452&gt;0,$D$251=13),INDEX(Y452,1),IF(AND(AA452&gt;0,$D$251=14),INDEX(AA452,1),IF(AND(AC452&gt;0,$D$251=15),INDEX(AC452,1),IF(AND(AE452&gt;0,$D$251=16),INDEX(AE452,1),0))))))))))))))))</f>
        <v>Hille</v>
      </c>
      <c r="B811" s="797" t="str">
        <f t="shared" ref="B811:B874" si="135">IF(AND(B452&gt;0,$D$251=1),INDEX(B452,1),IF(AND(D452&gt;0,$D$251=2),INDEX(D452,1),IF(AND(F452&gt;0,$D$251=3),INDEX(F452,1),IF(AND(H452&gt;0,$D$251=4),INDEX(H452,1),IF(AND(J452&gt;0,$D$251=5),INDEX(J452,1),IF(AND(L452&gt;0,$D$251=6),INDEX(L452,1),IF(AND(N452&gt;0,$D$251=7),INDEX(N452,1),IF(AND(P452&gt;0,$D$251=8),INDEX(P452,1),IF(AND(R452&gt;0,$D$251=9),INDEX(R452,1),IF(AND(T452&gt;0,$D$251=10),INDEX(T452,1),IF(AND(V452&gt;0,$D$251=11),INDEX(V452,1),IF(AND(X452&gt;0,$D$251=12),INDEX(X452,1),IF(AND(Z452&gt;0,$D$251=13),INDEX(Z452,1),IF(AND(AB452&gt;0,$D$251=14),INDEX(AB452,1),IF(AND(AD452&gt;0,$D$251=15),INDEX(AD452,1),IF(AND(AF452&gt;0,$D$251=16),INDEX(AF452,1),0))))))))))))))))</f>
        <v>I</v>
      </c>
      <c r="C811" s="798"/>
      <c r="D811" s="799"/>
      <c r="E811" s="800"/>
    </row>
    <row r="812" spans="1:5" ht="13.5">
      <c r="A812" s="797" t="str">
        <f t="shared" si="134"/>
        <v>Holzwickede</v>
      </c>
      <c r="B812" s="797" t="str">
        <f t="shared" si="135"/>
        <v>III</v>
      </c>
      <c r="C812" s="798"/>
      <c r="D812" s="799"/>
      <c r="E812" s="800"/>
    </row>
    <row r="813" spans="1:5" ht="13.5">
      <c r="A813" s="797" t="str">
        <f t="shared" si="134"/>
        <v>Horn-Bad Meinberg</v>
      </c>
      <c r="B813" s="797" t="str">
        <f t="shared" si="135"/>
        <v>I</v>
      </c>
      <c r="C813" s="798"/>
      <c r="D813" s="799"/>
      <c r="E813" s="800"/>
    </row>
    <row r="814" spans="1:5" ht="13.5">
      <c r="A814" s="797" t="str">
        <f t="shared" si="134"/>
        <v>Hörstel</v>
      </c>
      <c r="B814" s="797" t="str">
        <f t="shared" si="135"/>
        <v>I</v>
      </c>
      <c r="C814" s="798"/>
      <c r="D814" s="799"/>
      <c r="E814" s="800"/>
    </row>
    <row r="815" spans="1:5" ht="13.5">
      <c r="A815" s="797" t="str">
        <f t="shared" si="134"/>
        <v>Hövelhof</v>
      </c>
      <c r="B815" s="797" t="str">
        <f t="shared" si="135"/>
        <v>I</v>
      </c>
      <c r="C815" s="798"/>
      <c r="D815" s="799"/>
      <c r="E815" s="800"/>
    </row>
    <row r="816" spans="1:5" ht="13.5">
      <c r="A816" s="797" t="str">
        <f t="shared" si="134"/>
        <v>Höxter, Stadt</v>
      </c>
      <c r="B816" s="797" t="str">
        <f t="shared" si="135"/>
        <v>I</v>
      </c>
      <c r="C816" s="798"/>
      <c r="D816" s="799"/>
      <c r="E816" s="800"/>
    </row>
    <row r="817" spans="1:5" ht="13.5">
      <c r="A817" s="797" t="str">
        <f t="shared" si="134"/>
        <v>Hückelhoven</v>
      </c>
      <c r="B817" s="797" t="str">
        <f t="shared" si="135"/>
        <v>II</v>
      </c>
      <c r="C817" s="798"/>
      <c r="D817" s="799"/>
      <c r="E817" s="800"/>
    </row>
    <row r="818" spans="1:5" ht="13.5">
      <c r="A818" s="797" t="str">
        <f t="shared" si="134"/>
        <v>Hückeswagen</v>
      </c>
      <c r="B818" s="797" t="str">
        <f t="shared" si="135"/>
        <v>III</v>
      </c>
      <c r="C818" s="798"/>
      <c r="D818" s="799"/>
      <c r="E818" s="800"/>
    </row>
    <row r="819" spans="1:5" ht="13.5">
      <c r="A819" s="797" t="str">
        <f t="shared" si="134"/>
        <v>Hüllhorst</v>
      </c>
      <c r="B819" s="797" t="str">
        <f t="shared" si="135"/>
        <v>I</v>
      </c>
      <c r="C819" s="798"/>
      <c r="D819" s="799"/>
      <c r="E819" s="800"/>
    </row>
    <row r="820" spans="1:5" ht="13.5">
      <c r="A820" s="797" t="str">
        <f t="shared" si="134"/>
        <v>Hünxe</v>
      </c>
      <c r="B820" s="797" t="str">
        <f t="shared" si="135"/>
        <v>III</v>
      </c>
      <c r="C820" s="798"/>
      <c r="D820" s="799"/>
      <c r="E820" s="800"/>
    </row>
    <row r="821" spans="1:5" ht="13.5">
      <c r="A821" s="797" t="str">
        <f t="shared" si="134"/>
        <v>Hürth</v>
      </c>
      <c r="B821" s="797" t="str">
        <f t="shared" si="135"/>
        <v>V</v>
      </c>
      <c r="C821" s="798"/>
      <c r="D821" s="799"/>
      <c r="E821" s="800"/>
    </row>
    <row r="822" spans="1:5" ht="13.5">
      <c r="A822" s="797" t="str">
        <f t="shared" si="134"/>
        <v>Ibbenbüren</v>
      </c>
      <c r="B822" s="797" t="str">
        <f t="shared" si="135"/>
        <v>II</v>
      </c>
      <c r="C822" s="798"/>
      <c r="D822" s="799"/>
      <c r="E822" s="800"/>
    </row>
    <row r="823" spans="1:5" ht="13.5">
      <c r="A823" s="797" t="str">
        <f t="shared" si="134"/>
        <v>Iserlohn</v>
      </c>
      <c r="B823" s="797" t="str">
        <f t="shared" si="135"/>
        <v>III</v>
      </c>
      <c r="C823" s="798"/>
      <c r="D823" s="799"/>
      <c r="E823" s="800"/>
    </row>
    <row r="824" spans="1:5" ht="13.5">
      <c r="A824" s="797" t="str">
        <f t="shared" si="134"/>
        <v>Isselburg</v>
      </c>
      <c r="B824" s="797" t="str">
        <f t="shared" si="135"/>
        <v>II</v>
      </c>
      <c r="C824" s="798"/>
      <c r="D824" s="799"/>
      <c r="E824" s="800"/>
    </row>
    <row r="825" spans="1:5" ht="13.5">
      <c r="A825" s="797" t="str">
        <f t="shared" si="134"/>
        <v>Issum</v>
      </c>
      <c r="B825" s="797" t="str">
        <f t="shared" si="135"/>
        <v>II</v>
      </c>
      <c r="C825" s="798"/>
      <c r="D825" s="799"/>
      <c r="E825" s="800"/>
    </row>
    <row r="826" spans="1:5" ht="13.5">
      <c r="A826" s="797" t="str">
        <f t="shared" si="134"/>
        <v>Jüchen</v>
      </c>
      <c r="B826" s="797" t="str">
        <f t="shared" si="135"/>
        <v>III</v>
      </c>
      <c r="C826" s="798"/>
      <c r="D826" s="799"/>
      <c r="E826" s="800"/>
    </row>
    <row r="827" spans="1:5" ht="13.5">
      <c r="A827" s="797" t="str">
        <f t="shared" si="134"/>
        <v>Jülich</v>
      </c>
      <c r="B827" s="797" t="str">
        <f t="shared" si="135"/>
        <v>III</v>
      </c>
      <c r="C827" s="798"/>
      <c r="D827" s="799"/>
      <c r="E827" s="800"/>
    </row>
    <row r="828" spans="1:5" ht="13.5">
      <c r="A828" s="797" t="str">
        <f t="shared" si="134"/>
        <v>Kaarst</v>
      </c>
      <c r="B828" s="797" t="str">
        <f t="shared" si="135"/>
        <v>V</v>
      </c>
      <c r="C828" s="798"/>
      <c r="D828" s="799"/>
      <c r="E828" s="800"/>
    </row>
    <row r="829" spans="1:5" ht="13.5">
      <c r="A829" s="797" t="str">
        <f t="shared" si="134"/>
        <v>Kalkar</v>
      </c>
      <c r="B829" s="797" t="str">
        <f t="shared" si="135"/>
        <v>II</v>
      </c>
      <c r="C829" s="798"/>
      <c r="D829" s="799"/>
      <c r="E829" s="800"/>
    </row>
    <row r="830" spans="1:5" ht="13.5">
      <c r="A830" s="797" t="str">
        <f t="shared" si="134"/>
        <v>Kall</v>
      </c>
      <c r="B830" s="797" t="str">
        <f t="shared" si="135"/>
        <v>II</v>
      </c>
      <c r="C830" s="798"/>
      <c r="D830" s="799"/>
      <c r="E830" s="800"/>
    </row>
    <row r="831" spans="1:5" ht="13.5">
      <c r="A831" s="797" t="str">
        <f t="shared" si="134"/>
        <v>Kalletal</v>
      </c>
      <c r="B831" s="797" t="str">
        <f t="shared" si="135"/>
        <v>I</v>
      </c>
      <c r="C831" s="798"/>
      <c r="D831" s="799"/>
      <c r="E831" s="800"/>
    </row>
    <row r="832" spans="1:5" ht="13.5">
      <c r="A832" s="797" t="str">
        <f t="shared" si="134"/>
        <v>Kamen</v>
      </c>
      <c r="B832" s="797" t="str">
        <f t="shared" si="135"/>
        <v>III</v>
      </c>
      <c r="C832" s="798"/>
      <c r="D832" s="799"/>
      <c r="E832" s="800"/>
    </row>
    <row r="833" spans="1:5" ht="13.5">
      <c r="A833" s="797" t="str">
        <f t="shared" si="134"/>
        <v>Kamp-Lintfort</v>
      </c>
      <c r="B833" s="797" t="str">
        <f t="shared" si="135"/>
        <v>III</v>
      </c>
      <c r="C833" s="798"/>
      <c r="D833" s="799"/>
      <c r="E833" s="800"/>
    </row>
    <row r="834" spans="1:5" ht="13.5">
      <c r="A834" s="797" t="str">
        <f t="shared" si="134"/>
        <v>Kempen</v>
      </c>
      <c r="B834" s="797" t="str">
        <f t="shared" si="135"/>
        <v>III</v>
      </c>
      <c r="C834" s="798"/>
      <c r="D834" s="799"/>
      <c r="E834" s="800"/>
    </row>
    <row r="835" spans="1:5" ht="13.5">
      <c r="A835" s="797" t="str">
        <f t="shared" si="134"/>
        <v>Kerken</v>
      </c>
      <c r="B835" s="797" t="str">
        <f t="shared" si="135"/>
        <v>II</v>
      </c>
      <c r="C835" s="798"/>
      <c r="D835" s="799"/>
      <c r="E835" s="800"/>
    </row>
    <row r="836" spans="1:5" ht="13.5">
      <c r="A836" s="797" t="str">
        <f t="shared" si="134"/>
        <v>Kerpen</v>
      </c>
      <c r="B836" s="797" t="str">
        <f t="shared" si="135"/>
        <v>IV</v>
      </c>
      <c r="C836" s="798"/>
      <c r="D836" s="799"/>
      <c r="E836" s="800"/>
    </row>
    <row r="837" spans="1:5" ht="13.5">
      <c r="A837" s="797" t="str">
        <f t="shared" si="134"/>
        <v>Kevelaer</v>
      </c>
      <c r="B837" s="797" t="str">
        <f t="shared" si="135"/>
        <v>II</v>
      </c>
      <c r="C837" s="798"/>
      <c r="D837" s="799"/>
      <c r="E837" s="800"/>
    </row>
    <row r="838" spans="1:5" ht="13.5">
      <c r="A838" s="797" t="str">
        <f t="shared" si="134"/>
        <v>Kierspe</v>
      </c>
      <c r="B838" s="797" t="str">
        <f t="shared" si="135"/>
        <v>II</v>
      </c>
      <c r="C838" s="798"/>
      <c r="D838" s="799"/>
      <c r="E838" s="800"/>
    </row>
    <row r="839" spans="1:5" ht="13.5">
      <c r="A839" s="797" t="str">
        <f t="shared" si="134"/>
        <v>Kirchhundem</v>
      </c>
      <c r="B839" s="797" t="str">
        <f t="shared" si="135"/>
        <v>I</v>
      </c>
      <c r="C839" s="798"/>
      <c r="D839" s="799"/>
      <c r="E839" s="800"/>
    </row>
    <row r="840" spans="1:5" ht="13.5">
      <c r="A840" s="797" t="str">
        <f t="shared" si="134"/>
        <v>Kirchlengern</v>
      </c>
      <c r="B840" s="797" t="str">
        <f t="shared" si="135"/>
        <v>I</v>
      </c>
      <c r="C840" s="798"/>
      <c r="D840" s="799"/>
      <c r="E840" s="800"/>
    </row>
    <row r="841" spans="1:5" ht="13.5">
      <c r="A841" s="797" t="str">
        <f t="shared" si="134"/>
        <v>Kleve, Stadt</v>
      </c>
      <c r="B841" s="797" t="str">
        <f t="shared" si="135"/>
        <v>III</v>
      </c>
      <c r="C841" s="798"/>
      <c r="D841" s="799"/>
      <c r="E841" s="800"/>
    </row>
    <row r="842" spans="1:5" ht="13.5">
      <c r="A842" s="797" t="str">
        <f t="shared" si="134"/>
        <v>Köln</v>
      </c>
      <c r="B842" s="797" t="str">
        <f t="shared" si="135"/>
        <v>VI</v>
      </c>
      <c r="C842" s="798"/>
      <c r="D842" s="799"/>
      <c r="E842" s="800"/>
    </row>
    <row r="843" spans="1:5" ht="13.5">
      <c r="A843" s="797" t="str">
        <f t="shared" si="134"/>
        <v>Königswinter</v>
      </c>
      <c r="B843" s="797" t="str">
        <f t="shared" si="135"/>
        <v>IV</v>
      </c>
      <c r="C843" s="798"/>
      <c r="D843" s="799"/>
      <c r="E843" s="800"/>
    </row>
    <row r="844" spans="1:5" ht="13.5">
      <c r="A844" s="797" t="str">
        <f t="shared" si="134"/>
        <v>Korschenbroich</v>
      </c>
      <c r="B844" s="797" t="str">
        <f t="shared" si="135"/>
        <v>III</v>
      </c>
      <c r="C844" s="798"/>
      <c r="D844" s="799"/>
      <c r="E844" s="800"/>
    </row>
    <row r="845" spans="1:5" ht="13.5">
      <c r="A845" s="797" t="str">
        <f t="shared" si="134"/>
        <v>Kranenburg</v>
      </c>
      <c r="B845" s="797" t="str">
        <f t="shared" si="135"/>
        <v>II</v>
      </c>
      <c r="C845" s="798"/>
      <c r="D845" s="799"/>
      <c r="E845" s="800"/>
    </row>
    <row r="846" spans="1:5" ht="13.5">
      <c r="A846" s="797" t="str">
        <f t="shared" si="134"/>
        <v>Krefeld</v>
      </c>
      <c r="B846" s="797" t="str">
        <f t="shared" si="135"/>
        <v>IV</v>
      </c>
      <c r="C846" s="798"/>
      <c r="D846" s="799"/>
      <c r="E846" s="800"/>
    </row>
    <row r="847" spans="1:5" ht="13.5">
      <c r="A847" s="797" t="str">
        <f t="shared" si="134"/>
        <v>Kreis Borken</v>
      </c>
      <c r="B847" s="797" t="str">
        <f t="shared" si="135"/>
        <v>I</v>
      </c>
      <c r="C847" s="798"/>
      <c r="D847" s="799"/>
      <c r="E847" s="800"/>
    </row>
    <row r="848" spans="1:5" ht="13.5">
      <c r="A848" s="797" t="str">
        <f t="shared" si="134"/>
        <v>Kreis Coesfeld</v>
      </c>
      <c r="B848" s="797" t="str">
        <f t="shared" si="135"/>
        <v>II</v>
      </c>
      <c r="C848" s="798"/>
      <c r="D848" s="799"/>
      <c r="E848" s="800"/>
    </row>
    <row r="849" spans="1:5" ht="13.5">
      <c r="A849" s="797" t="str">
        <f t="shared" si="134"/>
        <v>Kreis Düren</v>
      </c>
      <c r="B849" s="797" t="str">
        <f t="shared" si="135"/>
        <v>II</v>
      </c>
      <c r="C849" s="798"/>
      <c r="D849" s="799"/>
      <c r="E849" s="800"/>
    </row>
    <row r="850" spans="1:5" ht="13.5">
      <c r="A850" s="797" t="str">
        <f t="shared" si="134"/>
        <v>Kreis Ennepe-Ruhr-Kreis</v>
      </c>
      <c r="B850" s="797" t="str">
        <f t="shared" si="135"/>
        <v>III</v>
      </c>
      <c r="C850" s="798"/>
      <c r="D850" s="799"/>
      <c r="E850" s="800"/>
    </row>
    <row r="851" spans="1:5" ht="13.5">
      <c r="A851" s="797" t="str">
        <f t="shared" si="134"/>
        <v>Kreis Euskirchen</v>
      </c>
      <c r="B851" s="797" t="str">
        <f t="shared" si="135"/>
        <v>I</v>
      </c>
      <c r="C851" s="798"/>
      <c r="D851" s="799"/>
      <c r="E851" s="800"/>
    </row>
    <row r="852" spans="1:5" ht="13.5">
      <c r="A852" s="797" t="str">
        <f t="shared" si="134"/>
        <v>Kreis Gütersloh</v>
      </c>
      <c r="B852" s="797" t="str">
        <f t="shared" si="135"/>
        <v>II</v>
      </c>
      <c r="C852" s="798"/>
      <c r="D852" s="799"/>
      <c r="E852" s="800"/>
    </row>
    <row r="853" spans="1:5" ht="13.5">
      <c r="A853" s="797" t="str">
        <f t="shared" si="134"/>
        <v>Kreis Heinsberg</v>
      </c>
      <c r="B853" s="797" t="str">
        <f t="shared" si="135"/>
        <v>I</v>
      </c>
      <c r="C853" s="798"/>
      <c r="D853" s="799"/>
      <c r="E853" s="800"/>
    </row>
    <row r="854" spans="1:5" ht="13.5">
      <c r="A854" s="797" t="str">
        <f t="shared" si="134"/>
        <v>Kreis Herford</v>
      </c>
      <c r="B854" s="797" t="str">
        <f t="shared" si="135"/>
        <v>I</v>
      </c>
      <c r="C854" s="798"/>
      <c r="D854" s="799"/>
      <c r="E854" s="800"/>
    </row>
    <row r="855" spans="1:5" ht="13.5">
      <c r="A855" s="797" t="str">
        <f t="shared" si="134"/>
        <v>Kreis Hochsauerlandkreis</v>
      </c>
      <c r="B855" s="797" t="str">
        <f t="shared" si="135"/>
        <v>I</v>
      </c>
      <c r="C855" s="798"/>
      <c r="D855" s="799"/>
      <c r="E855" s="800"/>
    </row>
    <row r="856" spans="1:5" ht="13.5">
      <c r="A856" s="797" t="str">
        <f t="shared" si="134"/>
        <v>Kreis Höxter</v>
      </c>
      <c r="B856" s="797" t="str">
        <f t="shared" si="135"/>
        <v>I</v>
      </c>
      <c r="C856" s="798"/>
      <c r="D856" s="799"/>
      <c r="E856" s="800"/>
    </row>
    <row r="857" spans="1:5" ht="13.5">
      <c r="A857" s="797" t="str">
        <f t="shared" si="134"/>
        <v>Kreis Kleve</v>
      </c>
      <c r="B857" s="797" t="str">
        <f t="shared" si="135"/>
        <v>II</v>
      </c>
      <c r="C857" s="798"/>
      <c r="D857" s="799"/>
      <c r="E857" s="800"/>
    </row>
    <row r="858" spans="1:5" ht="13.5">
      <c r="A858" s="797" t="str">
        <f t="shared" si="134"/>
        <v>Kreis Lippe</v>
      </c>
      <c r="B858" s="797" t="str">
        <f t="shared" si="135"/>
        <v>I</v>
      </c>
      <c r="C858" s="798"/>
      <c r="D858" s="799"/>
      <c r="E858" s="800"/>
    </row>
    <row r="859" spans="1:5" ht="13.5">
      <c r="A859" s="797" t="str">
        <f t="shared" si="134"/>
        <v>Kreis Märkischer Kreis</v>
      </c>
      <c r="B859" s="797" t="str">
        <f t="shared" si="135"/>
        <v>II</v>
      </c>
      <c r="C859" s="798"/>
      <c r="D859" s="799"/>
      <c r="E859" s="800"/>
    </row>
    <row r="860" spans="1:5" ht="13.5">
      <c r="A860" s="797" t="str">
        <f t="shared" si="134"/>
        <v>Kreis Paderborn</v>
      </c>
      <c r="B860" s="797" t="str">
        <f t="shared" si="135"/>
        <v>I</v>
      </c>
      <c r="C860" s="798"/>
      <c r="D860" s="799"/>
      <c r="E860" s="800"/>
    </row>
    <row r="861" spans="1:5" ht="13.5">
      <c r="A861" s="797" t="str">
        <f t="shared" si="134"/>
        <v>Kreis Siegen-Wittgenstein</v>
      </c>
      <c r="B861" s="797" t="str">
        <f t="shared" si="135"/>
        <v>I</v>
      </c>
      <c r="C861" s="798"/>
      <c r="D861" s="799"/>
      <c r="E861" s="800"/>
    </row>
    <row r="862" spans="1:5" ht="13.5">
      <c r="A862" s="797" t="str">
        <f t="shared" si="134"/>
        <v>Kreis Städteregion Aachen</v>
      </c>
      <c r="B862" s="797" t="str">
        <f t="shared" si="135"/>
        <v>II</v>
      </c>
      <c r="C862" s="798"/>
      <c r="D862" s="799"/>
      <c r="E862" s="800"/>
    </row>
    <row r="863" spans="1:5" ht="13.5">
      <c r="A863" s="797" t="str">
        <f t="shared" si="134"/>
        <v>Kreis Steinfurt</v>
      </c>
      <c r="B863" s="797" t="str">
        <f t="shared" si="135"/>
        <v>I</v>
      </c>
      <c r="C863" s="798"/>
      <c r="D863" s="799"/>
      <c r="E863" s="800"/>
    </row>
    <row r="864" spans="1:5" ht="13.5">
      <c r="A864" s="797" t="str">
        <f t="shared" si="134"/>
        <v>Kreis Warendorf</v>
      </c>
      <c r="B864" s="797" t="str">
        <f t="shared" si="135"/>
        <v>I</v>
      </c>
      <c r="C864" s="798"/>
      <c r="D864" s="799"/>
      <c r="E864" s="800"/>
    </row>
    <row r="865" spans="1:5" ht="13.5">
      <c r="A865" s="797" t="str">
        <f t="shared" si="134"/>
        <v>Kreis Wesel</v>
      </c>
      <c r="B865" s="797" t="str">
        <f t="shared" si="135"/>
        <v>II</v>
      </c>
      <c r="C865" s="798"/>
      <c r="D865" s="799"/>
      <c r="E865" s="800"/>
    </row>
    <row r="866" spans="1:5" ht="13.5">
      <c r="A866" s="797" t="str">
        <f t="shared" si="134"/>
        <v>Kreuzau</v>
      </c>
      <c r="B866" s="797" t="str">
        <f t="shared" si="135"/>
        <v>II</v>
      </c>
      <c r="C866" s="798"/>
      <c r="D866" s="799"/>
      <c r="E866" s="800"/>
    </row>
    <row r="867" spans="1:5" ht="13.5">
      <c r="A867" s="797" t="str">
        <f t="shared" si="134"/>
        <v>Kreuztal</v>
      </c>
      <c r="B867" s="797" t="str">
        <f t="shared" si="135"/>
        <v>II</v>
      </c>
      <c r="C867" s="798"/>
      <c r="D867" s="799"/>
      <c r="E867" s="800"/>
    </row>
    <row r="868" spans="1:5" ht="13.5">
      <c r="A868" s="797" t="str">
        <f t="shared" si="134"/>
        <v>Kürten</v>
      </c>
      <c r="B868" s="797" t="str">
        <f t="shared" si="135"/>
        <v>III</v>
      </c>
      <c r="C868" s="798"/>
      <c r="D868" s="799"/>
      <c r="E868" s="800"/>
    </row>
    <row r="869" spans="1:5" ht="13.5">
      <c r="A869" s="797" t="str">
        <f t="shared" si="134"/>
        <v>Lage</v>
      </c>
      <c r="B869" s="797" t="str">
        <f t="shared" si="135"/>
        <v>II</v>
      </c>
      <c r="C869" s="798"/>
      <c r="D869" s="799"/>
      <c r="E869" s="800"/>
    </row>
    <row r="870" spans="1:5" ht="13.5">
      <c r="A870" s="797" t="str">
        <f t="shared" si="134"/>
        <v>Langenfeld (Rheinland)</v>
      </c>
      <c r="B870" s="797" t="str">
        <f t="shared" si="135"/>
        <v>IV</v>
      </c>
      <c r="C870" s="798"/>
      <c r="D870" s="799"/>
      <c r="E870" s="800"/>
    </row>
    <row r="871" spans="1:5" ht="13.5">
      <c r="A871" s="797" t="str">
        <f t="shared" si="134"/>
        <v>Langerwehe</v>
      </c>
      <c r="B871" s="797" t="str">
        <f t="shared" si="135"/>
        <v>II</v>
      </c>
      <c r="C871" s="798"/>
      <c r="D871" s="799"/>
      <c r="E871" s="800"/>
    </row>
    <row r="872" spans="1:5" ht="13.5">
      <c r="A872" s="797" t="str">
        <f t="shared" si="134"/>
        <v>Leichlingen (Rheinland)</v>
      </c>
      <c r="B872" s="797" t="str">
        <f t="shared" si="135"/>
        <v>IV</v>
      </c>
      <c r="C872" s="798"/>
      <c r="D872" s="799"/>
      <c r="E872" s="800"/>
    </row>
    <row r="873" spans="1:5" ht="13.5">
      <c r="A873" s="797" t="str">
        <f t="shared" si="134"/>
        <v>Lemgo</v>
      </c>
      <c r="B873" s="797" t="str">
        <f t="shared" si="135"/>
        <v>II</v>
      </c>
      <c r="C873" s="798"/>
      <c r="D873" s="799"/>
      <c r="E873" s="800"/>
    </row>
    <row r="874" spans="1:5" ht="13.5">
      <c r="A874" s="797" t="str">
        <f t="shared" si="134"/>
        <v>Lengerich</v>
      </c>
      <c r="B874" s="797" t="str">
        <f t="shared" si="135"/>
        <v>I</v>
      </c>
      <c r="C874" s="798"/>
      <c r="D874" s="799"/>
      <c r="E874" s="800"/>
    </row>
    <row r="875" spans="1:5" ht="13.5">
      <c r="A875" s="797" t="str">
        <f t="shared" ref="A875:A938" si="136">IF(AND(A516&gt;0,$D$251=1),INDEX(A516,1),IF(AND(C516&gt;0,$D$251=2),INDEX(C516,1),IF(AND(E516&gt;0,$D$251=3),INDEX(E516,1),IF(AND(G516&gt;0,$D$251=4),INDEX(G516,1),IF(AND(I516&gt;0,$D$251=5),INDEX(I516,1),IF(AND(K516&gt;0,$D$251=6),INDEX(K516,1),IF(AND(M516&gt;0,$D$251=7),INDEX(M516,1),IF(AND(O516&gt;0,$D$251=8),INDEX(O516,1),IF(AND(Q516&gt;0,$D$251=9),INDEX(Q516,1),IF(AND(S516&gt;0,$D$251=10),INDEX(S516,1),IF(AND(U516&gt;0,$D$251=11),INDEX(U516,1),IF(AND(W516&gt;0,$D$251=12),INDEX(W516,1),IF(AND(Y516&gt;0,$D$251=13),INDEX(Y516,1),IF(AND(AA516&gt;0,$D$251=14),INDEX(AA516,1),IF(AND(AC516&gt;0,$D$251=15),INDEX(AC516,1),IF(AND(AE516&gt;0,$D$251=16),INDEX(AE516,1),0))))))))))))))))</f>
        <v>Lennestadt</v>
      </c>
      <c r="B875" s="797" t="str">
        <f t="shared" ref="B875:B938" si="137">IF(AND(B516&gt;0,$D$251=1),INDEX(B516,1),IF(AND(D516&gt;0,$D$251=2),INDEX(D516,1),IF(AND(F516&gt;0,$D$251=3),INDEX(F516,1),IF(AND(H516&gt;0,$D$251=4),INDEX(H516,1),IF(AND(J516&gt;0,$D$251=5),INDEX(J516,1),IF(AND(L516&gt;0,$D$251=6),INDEX(L516,1),IF(AND(N516&gt;0,$D$251=7),INDEX(N516,1),IF(AND(P516&gt;0,$D$251=8),INDEX(P516,1),IF(AND(R516&gt;0,$D$251=9),INDEX(R516,1),IF(AND(T516&gt;0,$D$251=10),INDEX(T516,1),IF(AND(V516&gt;0,$D$251=11),INDEX(V516,1),IF(AND(X516&gt;0,$D$251=12),INDEX(X516,1),IF(AND(Z516&gt;0,$D$251=13),INDEX(Z516,1),IF(AND(AB516&gt;0,$D$251=14),INDEX(AB516,1),IF(AND(AD516&gt;0,$D$251=15),INDEX(AD516,1),IF(AND(AF516&gt;0,$D$251=16),INDEX(AF516,1),0))))))))))))))))</f>
        <v>II</v>
      </c>
      <c r="C875" s="798"/>
      <c r="D875" s="799"/>
      <c r="E875" s="800"/>
    </row>
    <row r="876" spans="1:5" ht="13.5">
      <c r="A876" s="797" t="str">
        <f t="shared" si="136"/>
        <v>Leopoldshöhe</v>
      </c>
      <c r="B876" s="797" t="str">
        <f t="shared" si="137"/>
        <v>II</v>
      </c>
      <c r="C876" s="798"/>
      <c r="D876" s="799"/>
      <c r="E876" s="800"/>
    </row>
    <row r="877" spans="1:5" ht="13.5">
      <c r="A877" s="797" t="str">
        <f t="shared" si="136"/>
        <v>Leverkusen</v>
      </c>
      <c r="B877" s="797" t="str">
        <f t="shared" si="137"/>
        <v>IV</v>
      </c>
      <c r="C877" s="798"/>
      <c r="D877" s="799"/>
      <c r="E877" s="800"/>
    </row>
    <row r="878" spans="1:5" ht="13.5">
      <c r="A878" s="797" t="str">
        <f t="shared" si="136"/>
        <v>Lichtenau</v>
      </c>
      <c r="B878" s="797" t="str">
        <f t="shared" si="137"/>
        <v>I</v>
      </c>
      <c r="C878" s="798"/>
      <c r="D878" s="799"/>
      <c r="E878" s="800"/>
    </row>
    <row r="879" spans="1:5" ht="13.5">
      <c r="A879" s="797" t="str">
        <f t="shared" si="136"/>
        <v>Lindlar</v>
      </c>
      <c r="B879" s="797" t="str">
        <f t="shared" si="137"/>
        <v>III</v>
      </c>
      <c r="C879" s="798"/>
      <c r="D879" s="799"/>
      <c r="E879" s="800"/>
    </row>
    <row r="880" spans="1:5" ht="13.5">
      <c r="A880" s="797" t="str">
        <f t="shared" si="136"/>
        <v>Linnich</v>
      </c>
      <c r="B880" s="797" t="str">
        <f t="shared" si="137"/>
        <v>II</v>
      </c>
      <c r="C880" s="798"/>
      <c r="D880" s="799"/>
      <c r="E880" s="800"/>
    </row>
    <row r="881" spans="1:5" ht="13.5">
      <c r="A881" s="797" t="str">
        <f t="shared" si="136"/>
        <v>Lippetal</v>
      </c>
      <c r="B881" s="797" t="str">
        <f t="shared" si="137"/>
        <v>I</v>
      </c>
      <c r="C881" s="798"/>
      <c r="D881" s="799"/>
      <c r="E881" s="800"/>
    </row>
    <row r="882" spans="1:5" ht="13.5">
      <c r="A882" s="797" t="str">
        <f t="shared" si="136"/>
        <v>Lippstadt</v>
      </c>
      <c r="B882" s="797" t="str">
        <f t="shared" si="137"/>
        <v>II</v>
      </c>
      <c r="C882" s="798"/>
      <c r="D882" s="799"/>
      <c r="E882" s="800"/>
    </row>
    <row r="883" spans="1:5" ht="13.5">
      <c r="A883" s="797" t="str">
        <f t="shared" si="136"/>
        <v>Lohmar</v>
      </c>
      <c r="B883" s="797" t="str">
        <f t="shared" si="137"/>
        <v>IV</v>
      </c>
      <c r="C883" s="798"/>
      <c r="D883" s="799"/>
      <c r="E883" s="800"/>
    </row>
    <row r="884" spans="1:5" ht="13.5">
      <c r="A884" s="797" t="str">
        <f t="shared" si="136"/>
        <v>Löhne</v>
      </c>
      <c r="B884" s="797" t="str">
        <f t="shared" si="137"/>
        <v>II</v>
      </c>
      <c r="C884" s="798"/>
      <c r="D884" s="799"/>
      <c r="E884" s="800"/>
    </row>
    <row r="885" spans="1:5" ht="13.5">
      <c r="A885" s="797" t="str">
        <f t="shared" si="136"/>
        <v>Lotte</v>
      </c>
      <c r="B885" s="797" t="str">
        <f t="shared" si="137"/>
        <v>II</v>
      </c>
      <c r="C885" s="798"/>
      <c r="D885" s="799"/>
      <c r="E885" s="800"/>
    </row>
    <row r="886" spans="1:5" ht="13.5">
      <c r="A886" s="797" t="str">
        <f t="shared" si="136"/>
        <v>Lübbecke</v>
      </c>
      <c r="B886" s="797" t="str">
        <f t="shared" si="137"/>
        <v>II</v>
      </c>
      <c r="C886" s="798"/>
      <c r="D886" s="799"/>
      <c r="E886" s="800"/>
    </row>
    <row r="887" spans="1:5" ht="13.5">
      <c r="A887" s="797" t="str">
        <f t="shared" si="136"/>
        <v>Lüdenscheid</v>
      </c>
      <c r="B887" s="797" t="str">
        <f t="shared" si="137"/>
        <v>III</v>
      </c>
      <c r="C887" s="798"/>
      <c r="D887" s="799"/>
      <c r="E887" s="800"/>
    </row>
    <row r="888" spans="1:5" ht="13.5">
      <c r="A888" s="797" t="str">
        <f t="shared" si="136"/>
        <v>Lüdinghausen</v>
      </c>
      <c r="B888" s="797" t="str">
        <f t="shared" si="137"/>
        <v>II</v>
      </c>
      <c r="C888" s="798"/>
      <c r="D888" s="799"/>
      <c r="E888" s="800"/>
    </row>
    <row r="889" spans="1:5" ht="13.5">
      <c r="A889" s="797" t="str">
        <f t="shared" si="136"/>
        <v>Lünen</v>
      </c>
      <c r="B889" s="797" t="str">
        <f t="shared" si="137"/>
        <v>III</v>
      </c>
      <c r="C889" s="798"/>
      <c r="D889" s="799"/>
      <c r="E889" s="800"/>
    </row>
    <row r="890" spans="1:5" ht="13.5">
      <c r="A890" s="797" t="str">
        <f t="shared" si="136"/>
        <v>Marienheide</v>
      </c>
      <c r="B890" s="797" t="str">
        <f t="shared" si="137"/>
        <v>II</v>
      </c>
      <c r="C890" s="798"/>
      <c r="D890" s="799"/>
      <c r="E890" s="800"/>
    </row>
    <row r="891" spans="1:5" ht="13.5">
      <c r="A891" s="797" t="str">
        <f t="shared" si="136"/>
        <v>Marl</v>
      </c>
      <c r="B891" s="797" t="str">
        <f t="shared" si="137"/>
        <v>III</v>
      </c>
      <c r="C891" s="798"/>
      <c r="D891" s="799"/>
      <c r="E891" s="800"/>
    </row>
    <row r="892" spans="1:5" ht="13.5">
      <c r="A892" s="797" t="str">
        <f t="shared" si="136"/>
        <v>Marsberg</v>
      </c>
      <c r="B892" s="797" t="str">
        <f t="shared" si="137"/>
        <v>I</v>
      </c>
      <c r="C892" s="798"/>
      <c r="D892" s="799"/>
      <c r="E892" s="800"/>
    </row>
    <row r="893" spans="1:5" ht="13.5">
      <c r="A893" s="797" t="str">
        <f t="shared" si="136"/>
        <v>Mechernich</v>
      </c>
      <c r="B893" s="797" t="str">
        <f t="shared" si="137"/>
        <v>II</v>
      </c>
      <c r="C893" s="798"/>
      <c r="D893" s="799"/>
      <c r="E893" s="800"/>
    </row>
    <row r="894" spans="1:5" ht="13.5">
      <c r="A894" s="797" t="str">
        <f t="shared" si="136"/>
        <v>Meckenheim</v>
      </c>
      <c r="B894" s="797" t="str">
        <f t="shared" si="137"/>
        <v>III</v>
      </c>
      <c r="C894" s="798"/>
      <c r="D894" s="799"/>
      <c r="E894" s="800"/>
    </row>
    <row r="895" spans="1:5" ht="13.5">
      <c r="A895" s="797" t="str">
        <f t="shared" si="136"/>
        <v>Meerbusch</v>
      </c>
      <c r="B895" s="797" t="str">
        <f t="shared" si="137"/>
        <v>V</v>
      </c>
      <c r="C895" s="798"/>
      <c r="D895" s="799"/>
      <c r="E895" s="800"/>
    </row>
    <row r="896" spans="1:5" ht="13.5">
      <c r="A896" s="797" t="str">
        <f t="shared" si="136"/>
        <v>Meinerzhagen</v>
      </c>
      <c r="B896" s="797" t="str">
        <f t="shared" si="137"/>
        <v>II</v>
      </c>
      <c r="C896" s="798"/>
      <c r="D896" s="799"/>
      <c r="E896" s="800"/>
    </row>
    <row r="897" spans="1:5" ht="13.5">
      <c r="A897" s="797" t="str">
        <f t="shared" si="136"/>
        <v>Menden (Sauerland)</v>
      </c>
      <c r="B897" s="797" t="str">
        <f t="shared" si="137"/>
        <v>II</v>
      </c>
      <c r="C897" s="798"/>
      <c r="D897" s="799"/>
      <c r="E897" s="800"/>
    </row>
    <row r="898" spans="1:5" ht="13.5">
      <c r="A898" s="797" t="str">
        <f t="shared" si="136"/>
        <v>Meschede</v>
      </c>
      <c r="B898" s="797" t="str">
        <f t="shared" si="137"/>
        <v>I</v>
      </c>
      <c r="C898" s="798"/>
      <c r="D898" s="799"/>
      <c r="E898" s="800"/>
    </row>
    <row r="899" spans="1:5" ht="13.5">
      <c r="A899" s="797" t="str">
        <f t="shared" si="136"/>
        <v>Mettingen</v>
      </c>
      <c r="B899" s="797" t="str">
        <f t="shared" si="137"/>
        <v>I</v>
      </c>
      <c r="C899" s="798"/>
      <c r="D899" s="799"/>
      <c r="E899" s="800"/>
    </row>
    <row r="900" spans="1:5" ht="13.5">
      <c r="A900" s="797" t="str">
        <f t="shared" si="136"/>
        <v>Mettmann</v>
      </c>
      <c r="B900" s="797" t="str">
        <f t="shared" si="137"/>
        <v>IV</v>
      </c>
      <c r="C900" s="798"/>
      <c r="D900" s="799"/>
      <c r="E900" s="800"/>
    </row>
    <row r="901" spans="1:5" ht="13.5">
      <c r="A901" s="797" t="str">
        <f t="shared" si="136"/>
        <v>Minden</v>
      </c>
      <c r="B901" s="797" t="str">
        <f t="shared" si="137"/>
        <v>II</v>
      </c>
      <c r="C901" s="798"/>
      <c r="D901" s="799"/>
      <c r="E901" s="800"/>
    </row>
    <row r="902" spans="1:5" ht="13.5">
      <c r="A902" s="797" t="str">
        <f t="shared" si="136"/>
        <v>Moers</v>
      </c>
      <c r="B902" s="797" t="str">
        <f t="shared" si="137"/>
        <v>III</v>
      </c>
      <c r="C902" s="798"/>
      <c r="D902" s="799"/>
      <c r="E902" s="800"/>
    </row>
    <row r="903" spans="1:5" ht="13.5">
      <c r="A903" s="797" t="str">
        <f t="shared" si="136"/>
        <v>Möhnesee</v>
      </c>
      <c r="B903" s="797" t="str">
        <f t="shared" si="137"/>
        <v>I</v>
      </c>
      <c r="C903" s="798"/>
      <c r="D903" s="799"/>
      <c r="E903" s="800"/>
    </row>
    <row r="904" spans="1:5" ht="13.5">
      <c r="A904" s="797" t="str">
        <f t="shared" si="136"/>
        <v>Mönchengladbach</v>
      </c>
      <c r="B904" s="797" t="str">
        <f t="shared" si="137"/>
        <v>III</v>
      </c>
      <c r="C904" s="798"/>
      <c r="D904" s="799"/>
      <c r="E904" s="800"/>
    </row>
    <row r="905" spans="1:5" ht="13.5">
      <c r="A905" s="797" t="str">
        <f t="shared" si="136"/>
        <v>Monheim am Rhein</v>
      </c>
      <c r="B905" s="797" t="str">
        <f t="shared" si="137"/>
        <v>V</v>
      </c>
      <c r="C905" s="798"/>
      <c r="D905" s="799"/>
      <c r="E905" s="800"/>
    </row>
    <row r="906" spans="1:5" ht="13.5">
      <c r="A906" s="797" t="str">
        <f t="shared" si="136"/>
        <v>Monschau</v>
      </c>
      <c r="B906" s="797" t="str">
        <f t="shared" si="137"/>
        <v>I</v>
      </c>
      <c r="C906" s="798"/>
      <c r="D906" s="799"/>
      <c r="E906" s="800"/>
    </row>
    <row r="907" spans="1:5" ht="13.5">
      <c r="A907" s="797" t="str">
        <f t="shared" si="136"/>
        <v>Morsbach</v>
      </c>
      <c r="B907" s="797" t="str">
        <f t="shared" si="137"/>
        <v>I</v>
      </c>
      <c r="C907" s="798"/>
      <c r="D907" s="799"/>
      <c r="E907" s="800"/>
    </row>
    <row r="908" spans="1:5" ht="13.5">
      <c r="A908" s="797" t="str">
        <f t="shared" si="136"/>
        <v>Much</v>
      </c>
      <c r="B908" s="797" t="str">
        <f t="shared" si="137"/>
        <v>II</v>
      </c>
      <c r="C908" s="798"/>
      <c r="D908" s="799"/>
      <c r="E908" s="800"/>
    </row>
    <row r="909" spans="1:5" ht="13.5">
      <c r="A909" s="797" t="str">
        <f t="shared" si="136"/>
        <v>Mülheim an der Ruhr</v>
      </c>
      <c r="B909" s="797" t="str">
        <f t="shared" si="137"/>
        <v>IV</v>
      </c>
      <c r="C909" s="798"/>
      <c r="D909" s="799"/>
      <c r="E909" s="800"/>
    </row>
    <row r="910" spans="1:5" ht="13.5">
      <c r="A910" s="797" t="str">
        <f t="shared" si="136"/>
        <v>Münster</v>
      </c>
      <c r="B910" s="797" t="str">
        <f t="shared" si="137"/>
        <v>V</v>
      </c>
      <c r="C910" s="798"/>
      <c r="D910" s="799"/>
      <c r="E910" s="800"/>
    </row>
    <row r="911" spans="1:5" ht="13.5">
      <c r="A911" s="797" t="str">
        <f t="shared" si="136"/>
        <v>Netphen</v>
      </c>
      <c r="B911" s="797" t="str">
        <f t="shared" si="137"/>
        <v>II</v>
      </c>
      <c r="C911" s="798"/>
      <c r="D911" s="799"/>
      <c r="E911" s="800"/>
    </row>
    <row r="912" spans="1:5" ht="13.5">
      <c r="A912" s="797" t="str">
        <f t="shared" si="136"/>
        <v>Nettetal</v>
      </c>
      <c r="B912" s="797" t="str">
        <f t="shared" si="137"/>
        <v>II</v>
      </c>
      <c r="C912" s="798"/>
      <c r="D912" s="799"/>
      <c r="E912" s="800"/>
    </row>
    <row r="913" spans="1:5" ht="13.5">
      <c r="A913" s="797" t="str">
        <f t="shared" si="136"/>
        <v>Neuenkirchen</v>
      </c>
      <c r="B913" s="797" t="str">
        <f t="shared" si="137"/>
        <v>II</v>
      </c>
      <c r="C913" s="798"/>
      <c r="D913" s="799"/>
      <c r="E913" s="800"/>
    </row>
    <row r="914" spans="1:5" ht="13.5">
      <c r="A914" s="797" t="str">
        <f t="shared" si="136"/>
        <v>Neuenrade</v>
      </c>
      <c r="B914" s="797" t="str">
        <f t="shared" si="137"/>
        <v>II</v>
      </c>
      <c r="C914" s="798"/>
      <c r="D914" s="799"/>
      <c r="E914" s="800"/>
    </row>
    <row r="915" spans="1:5" ht="13.5">
      <c r="A915" s="797" t="str">
        <f t="shared" si="136"/>
        <v>Neukirchen-Vluyn</v>
      </c>
      <c r="B915" s="797" t="str">
        <f t="shared" si="137"/>
        <v>III</v>
      </c>
      <c r="C915" s="798"/>
      <c r="D915" s="799"/>
      <c r="E915" s="800"/>
    </row>
    <row r="916" spans="1:5" ht="13.5">
      <c r="A916" s="797" t="str">
        <f t="shared" si="136"/>
        <v>Neunkirchen</v>
      </c>
      <c r="B916" s="797" t="str">
        <f t="shared" si="137"/>
        <v>II</v>
      </c>
      <c r="C916" s="798"/>
      <c r="D916" s="799"/>
      <c r="E916" s="800"/>
    </row>
    <row r="917" spans="1:5" ht="13.5">
      <c r="A917" s="797" t="str">
        <f t="shared" si="136"/>
        <v>Neunkirchen-Seelscheid</v>
      </c>
      <c r="B917" s="797" t="str">
        <f t="shared" si="137"/>
        <v>III</v>
      </c>
      <c r="C917" s="798"/>
      <c r="D917" s="799"/>
      <c r="E917" s="800"/>
    </row>
    <row r="918" spans="1:5" ht="13.5">
      <c r="A918" s="797" t="str">
        <f t="shared" si="136"/>
        <v>Neuss</v>
      </c>
      <c r="B918" s="797" t="str">
        <f t="shared" si="137"/>
        <v>IV</v>
      </c>
      <c r="C918" s="798"/>
      <c r="D918" s="799"/>
      <c r="E918" s="800"/>
    </row>
    <row r="919" spans="1:5" ht="13.5">
      <c r="A919" s="797" t="str">
        <f t="shared" si="136"/>
        <v>Niederkassel</v>
      </c>
      <c r="B919" s="797" t="str">
        <f t="shared" si="137"/>
        <v>IV</v>
      </c>
      <c r="C919" s="798"/>
      <c r="D919" s="799"/>
      <c r="E919" s="800"/>
    </row>
    <row r="920" spans="1:5" ht="13.5">
      <c r="A920" s="797" t="str">
        <f t="shared" si="136"/>
        <v>Niederkrüchten</v>
      </c>
      <c r="B920" s="797" t="str">
        <f t="shared" si="137"/>
        <v>II</v>
      </c>
      <c r="C920" s="798"/>
      <c r="D920" s="799"/>
      <c r="E920" s="800"/>
    </row>
    <row r="921" spans="1:5" ht="13.5">
      <c r="A921" s="797" t="str">
        <f t="shared" si="136"/>
        <v>Niederzier</v>
      </c>
      <c r="B921" s="797" t="str">
        <f t="shared" si="137"/>
        <v>II</v>
      </c>
      <c r="C921" s="798"/>
      <c r="D921" s="799"/>
      <c r="E921" s="800"/>
    </row>
    <row r="922" spans="1:5" ht="13.5">
      <c r="A922" s="797" t="str">
        <f t="shared" si="136"/>
        <v>Nörvenich</v>
      </c>
      <c r="B922" s="797" t="str">
        <f t="shared" si="137"/>
        <v>III</v>
      </c>
      <c r="C922" s="798"/>
      <c r="D922" s="799"/>
      <c r="E922" s="800"/>
    </row>
    <row r="923" spans="1:5" ht="13.5">
      <c r="A923" s="797" t="str">
        <f t="shared" si="136"/>
        <v>Nottuln</v>
      </c>
      <c r="B923" s="797" t="str">
        <f t="shared" si="137"/>
        <v>II</v>
      </c>
      <c r="C923" s="798"/>
      <c r="D923" s="799"/>
      <c r="E923" s="800"/>
    </row>
    <row r="924" spans="1:5" ht="13.5">
      <c r="A924" s="797" t="str">
        <f t="shared" si="136"/>
        <v>Nümbrecht</v>
      </c>
      <c r="B924" s="797" t="str">
        <f t="shared" si="137"/>
        <v>II</v>
      </c>
      <c r="C924" s="798"/>
      <c r="D924" s="799"/>
      <c r="E924" s="800"/>
    </row>
    <row r="925" spans="1:5" ht="13.5">
      <c r="A925" s="797" t="str">
        <f t="shared" si="136"/>
        <v>Oberhausen</v>
      </c>
      <c r="B925" s="797" t="str">
        <f t="shared" si="137"/>
        <v>III</v>
      </c>
      <c r="C925" s="798"/>
      <c r="D925" s="799"/>
      <c r="E925" s="800"/>
    </row>
    <row r="926" spans="1:5" ht="13.5">
      <c r="A926" s="797" t="str">
        <f t="shared" si="136"/>
        <v>Ochtrup</v>
      </c>
      <c r="B926" s="797" t="str">
        <f t="shared" si="137"/>
        <v>I</v>
      </c>
      <c r="C926" s="798"/>
      <c r="D926" s="799"/>
      <c r="E926" s="800"/>
    </row>
    <row r="927" spans="1:5" ht="13.5">
      <c r="A927" s="797" t="str">
        <f t="shared" si="136"/>
        <v>Odenthal</v>
      </c>
      <c r="B927" s="797" t="str">
        <f t="shared" si="137"/>
        <v>IV</v>
      </c>
      <c r="C927" s="798"/>
      <c r="D927" s="799"/>
      <c r="E927" s="800"/>
    </row>
    <row r="928" spans="1:5" ht="13.5">
      <c r="A928" s="797" t="str">
        <f t="shared" si="136"/>
        <v>Oelde</v>
      </c>
      <c r="B928" s="797" t="str">
        <f t="shared" si="137"/>
        <v>I</v>
      </c>
      <c r="C928" s="798"/>
      <c r="D928" s="799"/>
      <c r="E928" s="800"/>
    </row>
    <row r="929" spans="1:5" ht="13.5">
      <c r="A929" s="797" t="str">
        <f t="shared" si="136"/>
        <v>Oer-Erkenschwick</v>
      </c>
      <c r="B929" s="797" t="str">
        <f t="shared" si="137"/>
        <v>III</v>
      </c>
      <c r="C929" s="798"/>
      <c r="D929" s="799"/>
      <c r="E929" s="800"/>
    </row>
    <row r="930" spans="1:5" ht="13.5">
      <c r="A930" s="797" t="str">
        <f t="shared" si="136"/>
        <v>Oerlinghausen</v>
      </c>
      <c r="B930" s="797" t="str">
        <f t="shared" si="137"/>
        <v>II</v>
      </c>
      <c r="C930" s="798"/>
      <c r="D930" s="799"/>
      <c r="E930" s="800"/>
    </row>
    <row r="931" spans="1:5" ht="13.5">
      <c r="A931" s="797" t="str">
        <f t="shared" si="136"/>
        <v>Olfen</v>
      </c>
      <c r="B931" s="797" t="str">
        <f t="shared" si="137"/>
        <v>II</v>
      </c>
      <c r="C931" s="798"/>
      <c r="D931" s="799"/>
      <c r="E931" s="800"/>
    </row>
    <row r="932" spans="1:5" ht="13.5">
      <c r="A932" s="797" t="str">
        <f t="shared" si="136"/>
        <v>Olpe</v>
      </c>
      <c r="B932" s="797" t="str">
        <f t="shared" si="137"/>
        <v>III</v>
      </c>
      <c r="C932" s="798"/>
      <c r="D932" s="799"/>
      <c r="E932" s="800"/>
    </row>
    <row r="933" spans="1:5" ht="13.5">
      <c r="A933" s="797" t="str">
        <f t="shared" si="136"/>
        <v>Olsberg</v>
      </c>
      <c r="B933" s="797" t="str">
        <f t="shared" si="137"/>
        <v>I</v>
      </c>
      <c r="C933" s="798"/>
      <c r="D933" s="799"/>
      <c r="E933" s="800"/>
    </row>
    <row r="934" spans="1:5" ht="13.5">
      <c r="A934" s="797" t="str">
        <f t="shared" si="136"/>
        <v>Ostbevern</v>
      </c>
      <c r="B934" s="797" t="str">
        <f t="shared" si="137"/>
        <v>II</v>
      </c>
      <c r="C934" s="798"/>
      <c r="D934" s="799"/>
      <c r="E934" s="800"/>
    </row>
    <row r="935" spans="1:5" ht="13.5">
      <c r="A935" s="797" t="str">
        <f t="shared" si="136"/>
        <v>Overath</v>
      </c>
      <c r="B935" s="797" t="str">
        <f t="shared" si="137"/>
        <v>IV</v>
      </c>
      <c r="C935" s="798"/>
      <c r="D935" s="799"/>
      <c r="E935" s="800"/>
    </row>
    <row r="936" spans="1:5" ht="13.5">
      <c r="A936" s="797" t="str">
        <f t="shared" si="136"/>
        <v>Paderborn, Stadt</v>
      </c>
      <c r="B936" s="797" t="str">
        <f t="shared" si="137"/>
        <v>II</v>
      </c>
      <c r="C936" s="798"/>
      <c r="D936" s="799"/>
      <c r="E936" s="800"/>
    </row>
    <row r="937" spans="1:5" ht="13.5">
      <c r="A937" s="797" t="str">
        <f t="shared" si="136"/>
        <v>Petershagen</v>
      </c>
      <c r="B937" s="797" t="str">
        <f t="shared" si="137"/>
        <v>I</v>
      </c>
      <c r="C937" s="798"/>
      <c r="D937" s="799"/>
      <c r="E937" s="800"/>
    </row>
    <row r="938" spans="1:5" ht="13.5">
      <c r="A938" s="797" t="str">
        <f t="shared" si="136"/>
        <v>Plettenberg</v>
      </c>
      <c r="B938" s="797" t="str">
        <f t="shared" si="137"/>
        <v>II</v>
      </c>
      <c r="C938" s="798"/>
      <c r="D938" s="799"/>
      <c r="E938" s="800"/>
    </row>
    <row r="939" spans="1:5" ht="13.5">
      <c r="A939" s="797" t="str">
        <f t="shared" ref="A939:A1002" si="138">IF(AND(A580&gt;0,$D$251=1),INDEX(A580,1),IF(AND(C580&gt;0,$D$251=2),INDEX(C580,1),IF(AND(E580&gt;0,$D$251=3),INDEX(E580,1),IF(AND(G580&gt;0,$D$251=4),INDEX(G580,1),IF(AND(I580&gt;0,$D$251=5),INDEX(I580,1),IF(AND(K580&gt;0,$D$251=6),INDEX(K580,1),IF(AND(M580&gt;0,$D$251=7),INDEX(M580,1),IF(AND(O580&gt;0,$D$251=8),INDEX(O580,1),IF(AND(Q580&gt;0,$D$251=9),INDEX(Q580,1),IF(AND(S580&gt;0,$D$251=10),INDEX(S580,1),IF(AND(U580&gt;0,$D$251=11),INDEX(U580,1),IF(AND(W580&gt;0,$D$251=12),INDEX(W580,1),IF(AND(Y580&gt;0,$D$251=13),INDEX(Y580,1),IF(AND(AA580&gt;0,$D$251=14),INDEX(AA580,1),IF(AND(AC580&gt;0,$D$251=15),INDEX(AC580,1),IF(AND(AE580&gt;0,$D$251=16),INDEX(AE580,1),0))))))))))))))))</f>
        <v>Porta Westfalica</v>
      </c>
      <c r="B939" s="797" t="str">
        <f t="shared" ref="B939:B1002" si="139">IF(AND(B580&gt;0,$D$251=1),INDEX(B580,1),IF(AND(D580&gt;0,$D$251=2),INDEX(D580,1),IF(AND(F580&gt;0,$D$251=3),INDEX(F580,1),IF(AND(H580&gt;0,$D$251=4),INDEX(H580,1),IF(AND(J580&gt;0,$D$251=5),INDEX(J580,1),IF(AND(L580&gt;0,$D$251=6),INDEX(L580,1),IF(AND(N580&gt;0,$D$251=7),INDEX(N580,1),IF(AND(P580&gt;0,$D$251=8),INDEX(P580,1),IF(AND(R580&gt;0,$D$251=9),INDEX(R580,1),IF(AND(T580&gt;0,$D$251=10),INDEX(T580,1),IF(AND(V580&gt;0,$D$251=11),INDEX(V580,1),IF(AND(X580&gt;0,$D$251=12),INDEX(X580,1),IF(AND(Z580&gt;0,$D$251=13),INDEX(Z580,1),IF(AND(AB580&gt;0,$D$251=14),INDEX(AB580,1),IF(AND(AD580&gt;0,$D$251=15),INDEX(AD580,1),IF(AND(AF580&gt;0,$D$251=16),INDEX(AF580,1),0))))))))))))))))</f>
        <v>I</v>
      </c>
      <c r="C939" s="798"/>
      <c r="D939" s="799"/>
      <c r="E939" s="800"/>
    </row>
    <row r="940" spans="1:5" ht="13.5">
      <c r="A940" s="797" t="str">
        <f t="shared" si="138"/>
        <v>Preussisch Oldendorf</v>
      </c>
      <c r="B940" s="797" t="str">
        <f t="shared" si="139"/>
        <v>I</v>
      </c>
      <c r="C940" s="798"/>
      <c r="D940" s="799"/>
      <c r="E940" s="800"/>
    </row>
    <row r="941" spans="1:5" ht="13.5">
      <c r="A941" s="797" t="str">
        <f t="shared" si="138"/>
        <v>Pulheim</v>
      </c>
      <c r="B941" s="797" t="str">
        <f t="shared" si="139"/>
        <v>V</v>
      </c>
      <c r="C941" s="798"/>
      <c r="D941" s="799"/>
      <c r="E941" s="800"/>
    </row>
    <row r="942" spans="1:5" ht="13.5">
      <c r="A942" s="797" t="str">
        <f t="shared" si="138"/>
        <v>Radevormwald</v>
      </c>
      <c r="B942" s="797" t="str">
        <f t="shared" si="139"/>
        <v>III</v>
      </c>
      <c r="C942" s="798"/>
      <c r="D942" s="799"/>
      <c r="E942" s="800"/>
    </row>
    <row r="943" spans="1:5" ht="13.5">
      <c r="A943" s="797" t="str">
        <f t="shared" si="138"/>
        <v>Raesfeld</v>
      </c>
      <c r="B943" s="797" t="str">
        <f t="shared" si="139"/>
        <v>II</v>
      </c>
      <c r="C943" s="798"/>
      <c r="D943" s="799"/>
      <c r="E943" s="800"/>
    </row>
    <row r="944" spans="1:5" ht="13.5">
      <c r="A944" s="797" t="str">
        <f t="shared" si="138"/>
        <v>Rahden</v>
      </c>
      <c r="B944" s="797" t="str">
        <f t="shared" si="139"/>
        <v>I</v>
      </c>
      <c r="C944" s="798"/>
      <c r="D944" s="799"/>
      <c r="E944" s="800"/>
    </row>
    <row r="945" spans="1:5" ht="13.5">
      <c r="A945" s="797" t="str">
        <f t="shared" si="138"/>
        <v>Ratingen</v>
      </c>
      <c r="B945" s="797" t="str">
        <f t="shared" si="139"/>
        <v>V</v>
      </c>
      <c r="C945" s="798"/>
      <c r="D945" s="799"/>
      <c r="E945" s="800"/>
    </row>
    <row r="946" spans="1:5" ht="13.5">
      <c r="A946" s="797" t="str">
        <f t="shared" si="138"/>
        <v>Recke</v>
      </c>
      <c r="B946" s="797" t="str">
        <f t="shared" si="139"/>
        <v>I</v>
      </c>
      <c r="C946" s="798"/>
      <c r="D946" s="799"/>
      <c r="E946" s="800"/>
    </row>
    <row r="947" spans="1:5" ht="13.5">
      <c r="A947" s="797" t="str">
        <f t="shared" si="138"/>
        <v>Recklinghausen</v>
      </c>
      <c r="B947" s="797" t="str">
        <f t="shared" si="139"/>
        <v>III</v>
      </c>
      <c r="C947" s="798"/>
      <c r="D947" s="799"/>
      <c r="E947" s="800"/>
    </row>
    <row r="948" spans="1:5" ht="13.5">
      <c r="A948" s="797" t="str">
        <f t="shared" si="138"/>
        <v>Rees</v>
      </c>
      <c r="B948" s="797" t="str">
        <f t="shared" si="139"/>
        <v>II</v>
      </c>
      <c r="C948" s="798"/>
      <c r="D948" s="799"/>
      <c r="E948" s="800"/>
    </row>
    <row r="949" spans="1:5" ht="13.5">
      <c r="A949" s="797" t="str">
        <f t="shared" si="138"/>
        <v>Reichshof</v>
      </c>
      <c r="B949" s="797" t="str">
        <f t="shared" si="139"/>
        <v>I</v>
      </c>
      <c r="C949" s="798"/>
      <c r="D949" s="799"/>
      <c r="E949" s="800"/>
    </row>
    <row r="950" spans="1:5" ht="13.5">
      <c r="A950" s="797" t="str">
        <f t="shared" si="138"/>
        <v>Reken</v>
      </c>
      <c r="B950" s="797" t="str">
        <f t="shared" si="139"/>
        <v>I</v>
      </c>
      <c r="C950" s="798"/>
      <c r="D950" s="799"/>
      <c r="E950" s="800"/>
    </row>
    <row r="951" spans="1:5" ht="13.5">
      <c r="A951" s="797" t="str">
        <f t="shared" si="138"/>
        <v>Remscheid</v>
      </c>
      <c r="B951" s="797" t="str">
        <f t="shared" si="139"/>
        <v>III</v>
      </c>
      <c r="C951" s="798"/>
      <c r="D951" s="799"/>
      <c r="E951" s="800"/>
    </row>
    <row r="952" spans="1:5" ht="13.5">
      <c r="A952" s="797" t="str">
        <f t="shared" si="138"/>
        <v>Rheda-Wiedenbrück</v>
      </c>
      <c r="B952" s="797" t="str">
        <f t="shared" si="139"/>
        <v>III</v>
      </c>
      <c r="C952" s="798"/>
      <c r="D952" s="799"/>
      <c r="E952" s="800"/>
    </row>
    <row r="953" spans="1:5" ht="13.5">
      <c r="A953" s="797" t="str">
        <f t="shared" si="138"/>
        <v>Rhede</v>
      </c>
      <c r="B953" s="797" t="str">
        <f t="shared" si="139"/>
        <v>II</v>
      </c>
      <c r="C953" s="798"/>
      <c r="D953" s="799"/>
      <c r="E953" s="800"/>
    </row>
    <row r="954" spans="1:5" ht="13.5">
      <c r="A954" s="797" t="str">
        <f t="shared" si="138"/>
        <v>Rheinbach</v>
      </c>
      <c r="B954" s="797" t="str">
        <f t="shared" si="139"/>
        <v>IV</v>
      </c>
      <c r="C954" s="798"/>
      <c r="D954" s="799"/>
      <c r="E954" s="800"/>
    </row>
    <row r="955" spans="1:5" ht="13.5">
      <c r="A955" s="797" t="str">
        <f t="shared" si="138"/>
        <v>Rheinberg</v>
      </c>
      <c r="B955" s="797" t="str">
        <f t="shared" si="139"/>
        <v>III</v>
      </c>
      <c r="C955" s="798"/>
      <c r="D955" s="799"/>
      <c r="E955" s="800"/>
    </row>
    <row r="956" spans="1:5" ht="13.5">
      <c r="A956" s="797" t="str">
        <f t="shared" si="138"/>
        <v>Rheine</v>
      </c>
      <c r="B956" s="797" t="str">
        <f t="shared" si="139"/>
        <v>II</v>
      </c>
      <c r="C956" s="798"/>
      <c r="D956" s="799"/>
      <c r="E956" s="800"/>
    </row>
    <row r="957" spans="1:5" ht="13.5">
      <c r="A957" s="797" t="str">
        <f t="shared" si="138"/>
        <v>Rietberg</v>
      </c>
      <c r="B957" s="797" t="str">
        <f t="shared" si="139"/>
        <v>II</v>
      </c>
      <c r="C957" s="798"/>
      <c r="D957" s="799"/>
      <c r="E957" s="800"/>
    </row>
    <row r="958" spans="1:5" ht="13.5">
      <c r="A958" s="797" t="str">
        <f t="shared" si="138"/>
        <v>Rommerskirchen</v>
      </c>
      <c r="B958" s="797" t="str">
        <f t="shared" si="139"/>
        <v>III</v>
      </c>
      <c r="C958" s="798"/>
      <c r="D958" s="799"/>
      <c r="E958" s="800"/>
    </row>
    <row r="959" spans="1:5" ht="13.5">
      <c r="A959" s="797" t="str">
        <f t="shared" si="138"/>
        <v>Rosendahl</v>
      </c>
      <c r="B959" s="797" t="str">
        <f t="shared" si="139"/>
        <v>I</v>
      </c>
      <c r="C959" s="798"/>
      <c r="D959" s="799"/>
      <c r="E959" s="800"/>
    </row>
    <row r="960" spans="1:5" ht="13.5">
      <c r="A960" s="797" t="str">
        <f t="shared" si="138"/>
        <v>Rösrath</v>
      </c>
      <c r="B960" s="797" t="str">
        <f t="shared" si="139"/>
        <v>V</v>
      </c>
      <c r="C960" s="798"/>
      <c r="D960" s="799"/>
      <c r="E960" s="800"/>
    </row>
    <row r="961" spans="1:5" ht="13.5">
      <c r="A961" s="797" t="str">
        <f t="shared" si="138"/>
        <v>Ruppichteroth</v>
      </c>
      <c r="B961" s="797" t="str">
        <f t="shared" si="139"/>
        <v>II</v>
      </c>
      <c r="C961" s="798"/>
      <c r="D961" s="799"/>
      <c r="E961" s="800"/>
    </row>
    <row r="962" spans="1:5" ht="13.5">
      <c r="A962" s="797" t="str">
        <f t="shared" si="138"/>
        <v>Rüthen</v>
      </c>
      <c r="B962" s="797" t="str">
        <f t="shared" si="139"/>
        <v>I</v>
      </c>
      <c r="C962" s="798"/>
      <c r="D962" s="799"/>
      <c r="E962" s="800"/>
    </row>
    <row r="963" spans="1:5" ht="13.5">
      <c r="A963" s="797" t="str">
        <f t="shared" si="138"/>
        <v>Salzkotten</v>
      </c>
      <c r="B963" s="797" t="str">
        <f t="shared" si="139"/>
        <v>I</v>
      </c>
      <c r="C963" s="798"/>
      <c r="D963" s="799"/>
      <c r="E963" s="800"/>
    </row>
    <row r="964" spans="1:5" ht="13.5">
      <c r="A964" s="797" t="str">
        <f t="shared" si="138"/>
        <v>Sankt Augustin</v>
      </c>
      <c r="B964" s="797" t="str">
        <f t="shared" si="139"/>
        <v>IV</v>
      </c>
      <c r="C964" s="798"/>
      <c r="D964" s="799"/>
      <c r="E964" s="800"/>
    </row>
    <row r="965" spans="1:5" ht="13.5">
      <c r="A965" s="797" t="str">
        <f t="shared" si="138"/>
        <v>Sassenberg</v>
      </c>
      <c r="B965" s="797" t="str">
        <f t="shared" si="139"/>
        <v>II</v>
      </c>
      <c r="C965" s="798"/>
      <c r="D965" s="799"/>
      <c r="E965" s="800"/>
    </row>
    <row r="966" spans="1:5" ht="13.5">
      <c r="A966" s="797" t="str">
        <f t="shared" si="138"/>
        <v>Schalksmühle</v>
      </c>
      <c r="B966" s="797" t="str">
        <f t="shared" si="139"/>
        <v>II</v>
      </c>
      <c r="C966" s="798"/>
      <c r="D966" s="799"/>
      <c r="E966" s="800"/>
    </row>
    <row r="967" spans="1:5" ht="13.5">
      <c r="A967" s="797" t="str">
        <f t="shared" si="138"/>
        <v>Schermbeck</v>
      </c>
      <c r="B967" s="797" t="str">
        <f t="shared" si="139"/>
        <v>III</v>
      </c>
      <c r="C967" s="798"/>
      <c r="D967" s="799"/>
      <c r="E967" s="800"/>
    </row>
    <row r="968" spans="1:5" ht="13.5">
      <c r="A968" s="797" t="str">
        <f t="shared" si="138"/>
        <v>Schleiden</v>
      </c>
      <c r="B968" s="797" t="str">
        <f t="shared" si="139"/>
        <v>I</v>
      </c>
      <c r="C968" s="798"/>
      <c r="D968" s="799"/>
      <c r="E968" s="800"/>
    </row>
    <row r="969" spans="1:5" ht="13.5">
      <c r="A969" s="797" t="str">
        <f t="shared" si="138"/>
        <v>Schloß Holte-Stukenbrock</v>
      </c>
      <c r="B969" s="797" t="str">
        <f t="shared" si="139"/>
        <v>II</v>
      </c>
      <c r="C969" s="798"/>
      <c r="D969" s="799"/>
      <c r="E969" s="800"/>
    </row>
    <row r="970" spans="1:5" ht="13.5">
      <c r="A970" s="797" t="str">
        <f t="shared" si="138"/>
        <v>Schmallenberg</v>
      </c>
      <c r="B970" s="797" t="str">
        <f t="shared" si="139"/>
        <v>I</v>
      </c>
      <c r="C970" s="798"/>
      <c r="D970" s="799"/>
      <c r="E970" s="800"/>
    </row>
    <row r="971" spans="1:5" ht="13.5">
      <c r="A971" s="797" t="str">
        <f t="shared" si="138"/>
        <v>Schwalmtal</v>
      </c>
      <c r="B971" s="797" t="str">
        <f t="shared" si="139"/>
        <v>II</v>
      </c>
      <c r="C971" s="798"/>
      <c r="D971" s="799"/>
      <c r="E971" s="800"/>
    </row>
    <row r="972" spans="1:5" ht="13.5">
      <c r="A972" s="797" t="str">
        <f t="shared" si="138"/>
        <v>Schwelm</v>
      </c>
      <c r="B972" s="797" t="str">
        <f t="shared" si="139"/>
        <v>III</v>
      </c>
      <c r="C972" s="798"/>
      <c r="D972" s="799"/>
      <c r="E972" s="800"/>
    </row>
    <row r="973" spans="1:5" ht="13.5">
      <c r="A973" s="797" t="str">
        <f t="shared" si="138"/>
        <v>Schwerte</v>
      </c>
      <c r="B973" s="797" t="str">
        <f t="shared" si="139"/>
        <v>III</v>
      </c>
      <c r="C973" s="798"/>
      <c r="D973" s="799"/>
      <c r="E973" s="800"/>
    </row>
    <row r="974" spans="1:5" ht="13.5">
      <c r="A974" s="797" t="str">
        <f t="shared" si="138"/>
        <v>Selfkant</v>
      </c>
      <c r="B974" s="797" t="str">
        <f t="shared" si="139"/>
        <v>II</v>
      </c>
      <c r="C974" s="798"/>
      <c r="D974" s="799"/>
      <c r="E974" s="800"/>
    </row>
    <row r="975" spans="1:5" ht="13.5">
      <c r="A975" s="797" t="str">
        <f t="shared" si="138"/>
        <v>Selm</v>
      </c>
      <c r="B975" s="797" t="str">
        <f t="shared" si="139"/>
        <v>III</v>
      </c>
      <c r="C975" s="798"/>
      <c r="D975" s="799"/>
      <c r="E975" s="800"/>
    </row>
    <row r="976" spans="1:5" ht="13.5">
      <c r="A976" s="797" t="str">
        <f t="shared" si="138"/>
        <v>Senden</v>
      </c>
      <c r="B976" s="797" t="str">
        <f t="shared" si="139"/>
        <v>II</v>
      </c>
      <c r="C976" s="798"/>
      <c r="D976" s="799"/>
      <c r="E976" s="800"/>
    </row>
    <row r="977" spans="1:5" ht="13.5">
      <c r="A977" s="797" t="str">
        <f t="shared" si="138"/>
        <v>Sendenhorst</v>
      </c>
      <c r="B977" s="797" t="str">
        <f t="shared" si="139"/>
        <v>II</v>
      </c>
      <c r="C977" s="798"/>
      <c r="D977" s="799"/>
      <c r="E977" s="800"/>
    </row>
    <row r="978" spans="1:5" ht="13.5">
      <c r="A978" s="797" t="str">
        <f t="shared" si="138"/>
        <v>Siegburg</v>
      </c>
      <c r="B978" s="797" t="str">
        <f t="shared" si="139"/>
        <v>V</v>
      </c>
      <c r="C978" s="798"/>
      <c r="D978" s="799"/>
      <c r="E978" s="800"/>
    </row>
    <row r="979" spans="1:5" ht="13.5">
      <c r="A979" s="797" t="str">
        <f t="shared" si="138"/>
        <v>Siegen, Stadt</v>
      </c>
      <c r="B979" s="797" t="str">
        <f t="shared" si="139"/>
        <v>III</v>
      </c>
      <c r="C979" s="798"/>
      <c r="D979" s="799"/>
      <c r="E979" s="800"/>
    </row>
    <row r="980" spans="1:5" ht="13.5">
      <c r="A980" s="797" t="str">
        <f t="shared" si="138"/>
        <v>Simmerath</v>
      </c>
      <c r="B980" s="797" t="str">
        <f t="shared" si="139"/>
        <v>II</v>
      </c>
      <c r="C980" s="798"/>
      <c r="D980" s="799"/>
      <c r="E980" s="800"/>
    </row>
    <row r="981" spans="1:5" ht="13.5">
      <c r="A981" s="797" t="str">
        <f t="shared" si="138"/>
        <v>Soest</v>
      </c>
      <c r="B981" s="797" t="str">
        <f t="shared" si="139"/>
        <v>II</v>
      </c>
      <c r="C981" s="798"/>
      <c r="D981" s="799"/>
      <c r="E981" s="800"/>
    </row>
    <row r="982" spans="1:5" ht="13.5">
      <c r="A982" s="797" t="str">
        <f t="shared" si="138"/>
        <v>Solingen</v>
      </c>
      <c r="B982" s="797" t="str">
        <f t="shared" si="139"/>
        <v>IV</v>
      </c>
      <c r="C982" s="798"/>
      <c r="D982" s="799"/>
      <c r="E982" s="800"/>
    </row>
    <row r="983" spans="1:5" ht="13.5">
      <c r="A983" s="797" t="str">
        <f t="shared" si="138"/>
        <v>Spenge</v>
      </c>
      <c r="B983" s="797" t="str">
        <f t="shared" si="139"/>
        <v>I</v>
      </c>
      <c r="C983" s="798"/>
      <c r="D983" s="799"/>
      <c r="E983" s="800"/>
    </row>
    <row r="984" spans="1:5" ht="13.5">
      <c r="A984" s="797" t="str">
        <f t="shared" si="138"/>
        <v>Sprockhövel</v>
      </c>
      <c r="B984" s="797" t="str">
        <f t="shared" si="139"/>
        <v>III</v>
      </c>
      <c r="C984" s="798"/>
      <c r="D984" s="799"/>
      <c r="E984" s="800"/>
    </row>
    <row r="985" spans="1:5" ht="13.5">
      <c r="A985" s="797" t="str">
        <f t="shared" si="138"/>
        <v>Stadtlohn</v>
      </c>
      <c r="B985" s="797" t="str">
        <f t="shared" si="139"/>
        <v>II</v>
      </c>
      <c r="C985" s="798"/>
      <c r="D985" s="799"/>
      <c r="E985" s="800"/>
    </row>
    <row r="986" spans="1:5" ht="13.5">
      <c r="A986" s="797" t="str">
        <f t="shared" si="138"/>
        <v>Steinfurt, Stadt</v>
      </c>
      <c r="B986" s="797" t="str">
        <f t="shared" si="139"/>
        <v>II</v>
      </c>
      <c r="C986" s="798"/>
      <c r="D986" s="799"/>
      <c r="E986" s="800"/>
    </row>
    <row r="987" spans="1:5" ht="13.5">
      <c r="A987" s="797" t="str">
        <f t="shared" si="138"/>
        <v>Steinhagen</v>
      </c>
      <c r="B987" s="797" t="str">
        <f t="shared" si="139"/>
        <v>II</v>
      </c>
      <c r="C987" s="798"/>
      <c r="D987" s="799"/>
      <c r="E987" s="800"/>
    </row>
    <row r="988" spans="1:5" ht="13.5">
      <c r="A988" s="797" t="str">
        <f t="shared" si="138"/>
        <v>Steinheim</v>
      </c>
      <c r="B988" s="797" t="str">
        <f t="shared" si="139"/>
        <v>I</v>
      </c>
      <c r="C988" s="798"/>
      <c r="D988" s="799"/>
      <c r="E988" s="800"/>
    </row>
    <row r="989" spans="1:5" ht="13.5">
      <c r="A989" s="797" t="str">
        <f t="shared" si="138"/>
        <v>Stemwede</v>
      </c>
      <c r="B989" s="797" t="str">
        <f t="shared" si="139"/>
        <v>I</v>
      </c>
      <c r="C989" s="798"/>
      <c r="D989" s="799"/>
      <c r="E989" s="800"/>
    </row>
    <row r="990" spans="1:5" ht="13.5">
      <c r="A990" s="797" t="str">
        <f t="shared" si="138"/>
        <v>Stolberg (Rheinland)</v>
      </c>
      <c r="B990" s="797" t="str">
        <f t="shared" si="139"/>
        <v>III</v>
      </c>
      <c r="C990" s="798"/>
      <c r="D990" s="799"/>
      <c r="E990" s="800"/>
    </row>
    <row r="991" spans="1:5" ht="13.5">
      <c r="A991" s="797" t="str">
        <f t="shared" si="138"/>
        <v>Straelen</v>
      </c>
      <c r="B991" s="797" t="str">
        <f t="shared" si="139"/>
        <v>II</v>
      </c>
      <c r="C991" s="798"/>
      <c r="D991" s="799"/>
      <c r="E991" s="800"/>
    </row>
    <row r="992" spans="1:5" ht="13.5">
      <c r="A992" s="797" t="str">
        <f t="shared" si="138"/>
        <v>Sundern (Sauerland)</v>
      </c>
      <c r="B992" s="797" t="str">
        <f t="shared" si="139"/>
        <v>I</v>
      </c>
      <c r="C992" s="798"/>
      <c r="D992" s="799"/>
      <c r="E992" s="800"/>
    </row>
    <row r="993" spans="1:5" ht="13.5">
      <c r="A993" s="797" t="str">
        <f t="shared" si="138"/>
        <v>Swisttal</v>
      </c>
      <c r="B993" s="797" t="str">
        <f t="shared" si="139"/>
        <v>III</v>
      </c>
      <c r="C993" s="798"/>
      <c r="D993" s="799"/>
      <c r="E993" s="800"/>
    </row>
    <row r="994" spans="1:5" ht="13.5">
      <c r="A994" s="797" t="str">
        <f t="shared" si="138"/>
        <v>Telgte</v>
      </c>
      <c r="B994" s="797" t="str">
        <f t="shared" si="139"/>
        <v>III</v>
      </c>
      <c r="C994" s="798"/>
      <c r="D994" s="799"/>
      <c r="E994" s="800"/>
    </row>
    <row r="995" spans="1:5" ht="13.5">
      <c r="A995" s="797" t="str">
        <f t="shared" si="138"/>
        <v>Tönisvorst</v>
      </c>
      <c r="B995" s="797" t="str">
        <f t="shared" si="139"/>
        <v>III</v>
      </c>
      <c r="C995" s="798"/>
      <c r="D995" s="799"/>
      <c r="E995" s="800"/>
    </row>
    <row r="996" spans="1:5" ht="13.5">
      <c r="A996" s="797" t="str">
        <f t="shared" si="138"/>
        <v>Troisdorf</v>
      </c>
      <c r="B996" s="797" t="str">
        <f t="shared" si="139"/>
        <v>IV</v>
      </c>
      <c r="C996" s="798"/>
      <c r="D996" s="799"/>
      <c r="E996" s="800"/>
    </row>
    <row r="997" spans="1:5" ht="13.5">
      <c r="A997" s="797" t="str">
        <f t="shared" si="138"/>
        <v>Übach-Palenberg</v>
      </c>
      <c r="B997" s="797" t="str">
        <f t="shared" si="139"/>
        <v>II</v>
      </c>
      <c r="C997" s="798"/>
      <c r="D997" s="799"/>
      <c r="E997" s="800"/>
    </row>
    <row r="998" spans="1:5" ht="13.5">
      <c r="A998" s="797" t="str">
        <f t="shared" si="138"/>
        <v>Unna</v>
      </c>
      <c r="B998" s="797" t="str">
        <f t="shared" si="139"/>
        <v>III</v>
      </c>
      <c r="C998" s="798"/>
      <c r="D998" s="799"/>
      <c r="E998" s="800"/>
    </row>
    <row r="999" spans="1:5" ht="13.5">
      <c r="A999" s="797" t="str">
        <f t="shared" si="138"/>
        <v>Velbert</v>
      </c>
      <c r="B999" s="797" t="str">
        <f t="shared" si="139"/>
        <v>III</v>
      </c>
      <c r="C999" s="798"/>
      <c r="D999" s="799"/>
      <c r="E999" s="800"/>
    </row>
    <row r="1000" spans="1:5" ht="13.5">
      <c r="A1000" s="797" t="str">
        <f t="shared" si="138"/>
        <v>Velen</v>
      </c>
      <c r="B1000" s="797" t="str">
        <f t="shared" si="139"/>
        <v>I</v>
      </c>
      <c r="C1000" s="798"/>
      <c r="D1000" s="799"/>
      <c r="E1000" s="800"/>
    </row>
    <row r="1001" spans="1:5" ht="13.5">
      <c r="A1001" s="797" t="str">
        <f t="shared" si="138"/>
        <v>Verl</v>
      </c>
      <c r="B1001" s="797" t="str">
        <f t="shared" si="139"/>
        <v>II</v>
      </c>
      <c r="C1001" s="798"/>
      <c r="D1001" s="799"/>
      <c r="E1001" s="800"/>
    </row>
    <row r="1002" spans="1:5" ht="13.5">
      <c r="A1002" s="797" t="str">
        <f t="shared" si="138"/>
        <v>Versmold</v>
      </c>
      <c r="B1002" s="797" t="str">
        <f t="shared" si="139"/>
        <v>I</v>
      </c>
      <c r="C1002" s="798"/>
      <c r="D1002" s="799"/>
      <c r="E1002" s="800"/>
    </row>
    <row r="1003" spans="1:5" ht="13.5">
      <c r="A1003" s="797" t="str">
        <f t="shared" ref="A1003:A1041" si="140">IF(AND(A644&gt;0,$D$251=1),INDEX(A644,1),IF(AND(C644&gt;0,$D$251=2),INDEX(C644,1),IF(AND(E644&gt;0,$D$251=3),INDEX(E644,1),IF(AND(G644&gt;0,$D$251=4),INDEX(G644,1),IF(AND(I644&gt;0,$D$251=5),INDEX(I644,1),IF(AND(K644&gt;0,$D$251=6),INDEX(K644,1),IF(AND(M644&gt;0,$D$251=7),INDEX(M644,1),IF(AND(O644&gt;0,$D$251=8),INDEX(O644,1),IF(AND(Q644&gt;0,$D$251=9),INDEX(Q644,1),IF(AND(S644&gt;0,$D$251=10),INDEX(S644,1),IF(AND(U644&gt;0,$D$251=11),INDEX(U644,1),IF(AND(W644&gt;0,$D$251=12),INDEX(W644,1),IF(AND(Y644&gt;0,$D$251=13),INDEX(Y644,1),IF(AND(AA644&gt;0,$D$251=14),INDEX(AA644,1),IF(AND(AC644&gt;0,$D$251=15),INDEX(AC644,1),IF(AND(AE644&gt;0,$D$251=16),INDEX(AE644,1),0))))))))))))))))</f>
        <v>Viersen</v>
      </c>
      <c r="B1003" s="797" t="str">
        <f t="shared" ref="B1003:B1041" si="141">IF(AND(B644&gt;0,$D$251=1),INDEX(B644,1),IF(AND(D644&gt;0,$D$251=2),INDEX(D644,1),IF(AND(F644&gt;0,$D$251=3),INDEX(F644,1),IF(AND(H644&gt;0,$D$251=4),INDEX(H644,1),IF(AND(J644&gt;0,$D$251=5),INDEX(J644,1),IF(AND(L644&gt;0,$D$251=6),INDEX(L644,1),IF(AND(N644&gt;0,$D$251=7),INDEX(N644,1),IF(AND(P644&gt;0,$D$251=8),INDEX(P644,1),IF(AND(R644&gt;0,$D$251=9),INDEX(R644,1),IF(AND(T644&gt;0,$D$251=10),INDEX(T644,1),IF(AND(V644&gt;0,$D$251=11),INDEX(V644,1),IF(AND(X644&gt;0,$D$251=12),INDEX(X644,1),IF(AND(Z644&gt;0,$D$251=13),INDEX(Z644,1),IF(AND(AB644&gt;0,$D$251=14),INDEX(AB644,1),IF(AND(AD644&gt;0,$D$251=15),INDEX(AD644,1),IF(AND(AF644&gt;0,$D$251=16),INDEX(AF644,1),0))))))))))))))))</f>
        <v>III</v>
      </c>
      <c r="C1003" s="798"/>
      <c r="D1003" s="799"/>
      <c r="E1003" s="800"/>
    </row>
    <row r="1004" spans="1:5" ht="13.5">
      <c r="A1004" s="797" t="str">
        <f t="shared" si="140"/>
        <v>Vlotho</v>
      </c>
      <c r="B1004" s="797" t="str">
        <f t="shared" si="141"/>
        <v>I</v>
      </c>
      <c r="C1004" s="798"/>
      <c r="D1004" s="799"/>
      <c r="E1004" s="800"/>
    </row>
    <row r="1005" spans="1:5" ht="13.5">
      <c r="A1005" s="797" t="str">
        <f t="shared" si="140"/>
        <v>Voerde (Niederrhein)</v>
      </c>
      <c r="B1005" s="797" t="str">
        <f t="shared" si="141"/>
        <v>III</v>
      </c>
      <c r="C1005" s="798"/>
      <c r="D1005" s="799"/>
      <c r="E1005" s="800"/>
    </row>
    <row r="1006" spans="1:5" ht="13.5">
      <c r="A1006" s="797" t="str">
        <f t="shared" si="140"/>
        <v>Vreden</v>
      </c>
      <c r="B1006" s="797" t="str">
        <f t="shared" si="141"/>
        <v>I</v>
      </c>
      <c r="C1006" s="798"/>
      <c r="D1006" s="799"/>
      <c r="E1006" s="800"/>
    </row>
    <row r="1007" spans="1:5" ht="13.5">
      <c r="A1007" s="797" t="str">
        <f t="shared" si="140"/>
        <v>Wachtberg</v>
      </c>
      <c r="B1007" s="797" t="str">
        <f t="shared" si="141"/>
        <v>IV</v>
      </c>
      <c r="C1007" s="798"/>
      <c r="D1007" s="799"/>
      <c r="E1007" s="800"/>
    </row>
    <row r="1008" spans="1:5" ht="13.5">
      <c r="A1008" s="797" t="str">
        <f t="shared" si="140"/>
        <v>Wadersloh</v>
      </c>
      <c r="B1008" s="797" t="str">
        <f t="shared" si="141"/>
        <v>I</v>
      </c>
      <c r="C1008" s="798"/>
      <c r="D1008" s="799"/>
      <c r="E1008" s="800"/>
    </row>
    <row r="1009" spans="1:5" ht="13.5">
      <c r="A1009" s="797" t="str">
        <f t="shared" si="140"/>
        <v>Waldbröl</v>
      </c>
      <c r="B1009" s="797" t="str">
        <f t="shared" si="141"/>
        <v>II</v>
      </c>
      <c r="C1009" s="798"/>
      <c r="D1009" s="799"/>
      <c r="E1009" s="800"/>
    </row>
    <row r="1010" spans="1:5" ht="13.5">
      <c r="A1010" s="797" t="str">
        <f t="shared" si="140"/>
        <v>Waltrop</v>
      </c>
      <c r="B1010" s="797" t="str">
        <f t="shared" si="141"/>
        <v>III</v>
      </c>
      <c r="C1010" s="798"/>
      <c r="D1010" s="799"/>
      <c r="E1010" s="800"/>
    </row>
    <row r="1011" spans="1:5" ht="13.5">
      <c r="A1011" s="797" t="str">
        <f t="shared" si="140"/>
        <v>Warburg</v>
      </c>
      <c r="B1011" s="797" t="str">
        <f t="shared" si="141"/>
        <v>I</v>
      </c>
      <c r="C1011" s="798"/>
      <c r="D1011" s="799"/>
      <c r="E1011" s="800"/>
    </row>
    <row r="1012" spans="1:5" ht="13.5">
      <c r="A1012" s="797" t="str">
        <f t="shared" si="140"/>
        <v>Warendorf, Stadt</v>
      </c>
      <c r="B1012" s="797" t="str">
        <f t="shared" si="141"/>
        <v>II</v>
      </c>
      <c r="C1012" s="798"/>
      <c r="D1012" s="799"/>
      <c r="E1012" s="800"/>
    </row>
    <row r="1013" spans="1:5" ht="13.5">
      <c r="A1013" s="797" t="str">
        <f t="shared" si="140"/>
        <v>Warstein</v>
      </c>
      <c r="B1013" s="797" t="str">
        <f t="shared" si="141"/>
        <v>I</v>
      </c>
      <c r="C1013" s="798"/>
      <c r="D1013" s="799"/>
      <c r="E1013" s="800"/>
    </row>
    <row r="1014" spans="1:5" ht="13.5">
      <c r="A1014" s="797" t="str">
        <f t="shared" si="140"/>
        <v>Wassenberg</v>
      </c>
      <c r="B1014" s="797" t="str">
        <f t="shared" si="141"/>
        <v>II</v>
      </c>
      <c r="C1014" s="798"/>
      <c r="D1014" s="799"/>
      <c r="E1014" s="800"/>
    </row>
    <row r="1015" spans="1:5" ht="13.5">
      <c r="A1015" s="797" t="str">
        <f t="shared" si="140"/>
        <v>Weeze</v>
      </c>
      <c r="B1015" s="797" t="str">
        <f t="shared" si="141"/>
        <v>II</v>
      </c>
      <c r="C1015" s="798"/>
      <c r="D1015" s="799"/>
      <c r="E1015" s="800"/>
    </row>
    <row r="1016" spans="1:5" ht="13.5">
      <c r="A1016" s="797" t="str">
        <f t="shared" si="140"/>
        <v>Wegberg</v>
      </c>
      <c r="B1016" s="797" t="str">
        <f t="shared" si="141"/>
        <v>III</v>
      </c>
      <c r="C1016" s="798"/>
      <c r="D1016" s="799"/>
      <c r="E1016" s="800"/>
    </row>
    <row r="1017" spans="1:5" ht="13.5">
      <c r="A1017" s="797" t="str">
        <f t="shared" si="140"/>
        <v>Weilerswist</v>
      </c>
      <c r="B1017" s="797" t="str">
        <f t="shared" si="141"/>
        <v>III</v>
      </c>
      <c r="C1017" s="798"/>
      <c r="D1017" s="799"/>
      <c r="E1017" s="800"/>
    </row>
    <row r="1018" spans="1:5" ht="13.5">
      <c r="A1018" s="797" t="str">
        <f t="shared" si="140"/>
        <v>Welver</v>
      </c>
      <c r="B1018" s="797" t="str">
        <f t="shared" si="141"/>
        <v>II</v>
      </c>
      <c r="C1018" s="798"/>
      <c r="D1018" s="799"/>
      <c r="E1018" s="800"/>
    </row>
    <row r="1019" spans="1:5" ht="13.5">
      <c r="A1019" s="797" t="str">
        <f t="shared" si="140"/>
        <v>Wenden</v>
      </c>
      <c r="B1019" s="797" t="str">
        <f t="shared" si="141"/>
        <v>I</v>
      </c>
      <c r="C1019" s="798"/>
      <c r="D1019" s="799"/>
      <c r="E1019" s="800"/>
    </row>
    <row r="1020" spans="1:5" ht="13.5">
      <c r="A1020" s="797" t="str">
        <f t="shared" si="140"/>
        <v>Werdohl</v>
      </c>
      <c r="B1020" s="797" t="str">
        <f t="shared" si="141"/>
        <v>II</v>
      </c>
      <c r="C1020" s="798"/>
      <c r="D1020" s="799"/>
      <c r="E1020" s="800"/>
    </row>
    <row r="1021" spans="1:5" ht="13.5">
      <c r="A1021" s="797" t="str">
        <f t="shared" si="140"/>
        <v>Werl</v>
      </c>
      <c r="B1021" s="797" t="str">
        <f t="shared" si="141"/>
        <v>II</v>
      </c>
      <c r="C1021" s="798"/>
      <c r="D1021" s="799"/>
      <c r="E1021" s="800"/>
    </row>
    <row r="1022" spans="1:5" ht="13.5">
      <c r="A1022" s="797" t="str">
        <f t="shared" si="140"/>
        <v>Wermelskirchen</v>
      </c>
      <c r="B1022" s="797" t="str">
        <f t="shared" si="141"/>
        <v>III</v>
      </c>
      <c r="C1022" s="798"/>
      <c r="D1022" s="799"/>
      <c r="E1022" s="800"/>
    </row>
    <row r="1023" spans="1:5" ht="13.5">
      <c r="A1023" s="797" t="str">
        <f t="shared" si="140"/>
        <v>Werne</v>
      </c>
      <c r="B1023" s="797" t="str">
        <f t="shared" si="141"/>
        <v>II</v>
      </c>
      <c r="C1023" s="798"/>
      <c r="D1023" s="799"/>
      <c r="E1023" s="800"/>
    </row>
    <row r="1024" spans="1:5" ht="13.5">
      <c r="A1024" s="797" t="str">
        <f t="shared" si="140"/>
        <v>Werther (Westf.)</v>
      </c>
      <c r="B1024" s="797" t="str">
        <f t="shared" si="141"/>
        <v>II</v>
      </c>
      <c r="C1024" s="798"/>
      <c r="D1024" s="799"/>
      <c r="E1024" s="800"/>
    </row>
    <row r="1025" spans="1:5" ht="13.5">
      <c r="A1025" s="797" t="str">
        <f t="shared" si="140"/>
        <v>Wesel, Stadt</v>
      </c>
      <c r="B1025" s="797" t="str">
        <f t="shared" si="141"/>
        <v>III</v>
      </c>
      <c r="C1025" s="798"/>
      <c r="D1025" s="799"/>
      <c r="E1025" s="800"/>
    </row>
    <row r="1026" spans="1:5" ht="13.5">
      <c r="A1026" s="797" t="str">
        <f t="shared" si="140"/>
        <v>Wesseling</v>
      </c>
      <c r="B1026" s="797" t="str">
        <f t="shared" si="141"/>
        <v>IV</v>
      </c>
      <c r="C1026" s="798"/>
      <c r="D1026" s="799"/>
      <c r="E1026" s="800"/>
    </row>
    <row r="1027" spans="1:5" ht="13.5">
      <c r="A1027" s="797" t="str">
        <f t="shared" si="140"/>
        <v>Westerkappeln</v>
      </c>
      <c r="B1027" s="797" t="str">
        <f t="shared" si="141"/>
        <v>I</v>
      </c>
      <c r="C1027" s="798"/>
      <c r="D1027" s="799"/>
      <c r="E1027" s="800"/>
    </row>
    <row r="1028" spans="1:5" ht="13.5">
      <c r="A1028" s="797" t="str">
        <f t="shared" si="140"/>
        <v>Wetter (Ruhr)</v>
      </c>
      <c r="B1028" s="797" t="str">
        <f t="shared" si="141"/>
        <v>III</v>
      </c>
      <c r="C1028" s="798"/>
      <c r="D1028" s="799"/>
      <c r="E1028" s="800"/>
    </row>
    <row r="1029" spans="1:5" ht="13.5">
      <c r="A1029" s="797" t="str">
        <f t="shared" si="140"/>
        <v>Wickede (Ruhr)</v>
      </c>
      <c r="B1029" s="797" t="str">
        <f t="shared" si="141"/>
        <v>II</v>
      </c>
      <c r="C1029" s="798"/>
      <c r="D1029" s="799"/>
      <c r="E1029" s="800"/>
    </row>
    <row r="1030" spans="1:5" ht="13.5">
      <c r="A1030" s="797" t="str">
        <f t="shared" si="140"/>
        <v>Wiehl</v>
      </c>
      <c r="B1030" s="797" t="str">
        <f t="shared" si="141"/>
        <v>II</v>
      </c>
      <c r="C1030" s="798"/>
      <c r="D1030" s="799"/>
      <c r="E1030" s="800"/>
    </row>
    <row r="1031" spans="1:5" ht="13.5">
      <c r="A1031" s="797" t="str">
        <f t="shared" si="140"/>
        <v>Willich</v>
      </c>
      <c r="B1031" s="797" t="str">
        <f t="shared" si="141"/>
        <v>IV</v>
      </c>
      <c r="C1031" s="798"/>
      <c r="D1031" s="799"/>
      <c r="E1031" s="800"/>
    </row>
    <row r="1032" spans="1:5" ht="13.5">
      <c r="A1032" s="797" t="str">
        <f t="shared" si="140"/>
        <v>Wilnsdorf</v>
      </c>
      <c r="B1032" s="797" t="str">
        <f t="shared" si="141"/>
        <v>I</v>
      </c>
      <c r="C1032" s="798"/>
      <c r="D1032" s="799"/>
      <c r="E1032" s="800"/>
    </row>
    <row r="1033" spans="1:5" ht="13.5">
      <c r="A1033" s="797" t="str">
        <f t="shared" si="140"/>
        <v>Windeck</v>
      </c>
      <c r="B1033" s="797" t="str">
        <f t="shared" si="141"/>
        <v>II</v>
      </c>
      <c r="C1033" s="798"/>
      <c r="D1033" s="799"/>
      <c r="E1033" s="800"/>
    </row>
    <row r="1034" spans="1:5" ht="13.5">
      <c r="A1034" s="797" t="str">
        <f t="shared" si="140"/>
        <v>Winterberg</v>
      </c>
      <c r="B1034" s="797" t="str">
        <f t="shared" si="141"/>
        <v>I</v>
      </c>
      <c r="C1034" s="798"/>
      <c r="D1034" s="799"/>
      <c r="E1034" s="800"/>
    </row>
    <row r="1035" spans="1:5" ht="13.5">
      <c r="A1035" s="797" t="str">
        <f t="shared" si="140"/>
        <v>Wipperfürth</v>
      </c>
      <c r="B1035" s="797" t="str">
        <f t="shared" si="141"/>
        <v>II</v>
      </c>
      <c r="C1035" s="798"/>
      <c r="D1035" s="799"/>
      <c r="E1035" s="800"/>
    </row>
    <row r="1036" spans="1:5" ht="13.5">
      <c r="A1036" s="797" t="str">
        <f t="shared" si="140"/>
        <v>Witten</v>
      </c>
      <c r="B1036" s="797" t="str">
        <f t="shared" si="141"/>
        <v>III</v>
      </c>
      <c r="C1036" s="798"/>
      <c r="D1036" s="799"/>
      <c r="E1036" s="800"/>
    </row>
    <row r="1037" spans="1:5" ht="13.5">
      <c r="A1037" s="797" t="str">
        <f t="shared" si="140"/>
        <v>Wülfrath</v>
      </c>
      <c r="B1037" s="797" t="str">
        <f t="shared" si="141"/>
        <v>III</v>
      </c>
      <c r="C1037" s="798"/>
      <c r="D1037" s="799"/>
      <c r="E1037" s="800"/>
    </row>
    <row r="1038" spans="1:5" ht="13.5">
      <c r="A1038" s="797" t="str">
        <f t="shared" si="140"/>
        <v>Wuppertal</v>
      </c>
      <c r="B1038" s="797" t="str">
        <f t="shared" si="141"/>
        <v>III</v>
      </c>
      <c r="C1038" s="798"/>
      <c r="D1038" s="799"/>
      <c r="E1038" s="800"/>
    </row>
    <row r="1039" spans="1:5" ht="13.5">
      <c r="A1039" s="797" t="str">
        <f t="shared" si="140"/>
        <v>Würselen</v>
      </c>
      <c r="B1039" s="797" t="str">
        <f t="shared" si="141"/>
        <v>III</v>
      </c>
      <c r="C1039" s="798"/>
      <c r="D1039" s="799"/>
      <c r="E1039" s="800"/>
    </row>
    <row r="1040" spans="1:5" ht="13.5">
      <c r="A1040" s="797" t="str">
        <f t="shared" si="140"/>
        <v>Xanten</v>
      </c>
      <c r="B1040" s="797" t="str">
        <f t="shared" si="141"/>
        <v>III</v>
      </c>
      <c r="C1040" s="798"/>
      <c r="D1040" s="799"/>
      <c r="E1040" s="800"/>
    </row>
    <row r="1041" spans="1:2" ht="13.5">
      <c r="A1041" s="797" t="str">
        <f t="shared" si="140"/>
        <v>Zülpich</v>
      </c>
      <c r="B1041" s="797" t="str">
        <f t="shared" si="141"/>
        <v>II</v>
      </c>
    </row>
    <row r="1042" spans="1:2" ht="13.5">
      <c r="A1042" s="796"/>
    </row>
    <row r="1043" spans="1:2" ht="13.5">
      <c r="A1043" s="796"/>
    </row>
    <row r="1044" spans="1:2" ht="13.5">
      <c r="A1044" s="796"/>
    </row>
    <row r="1045" spans="1:2" ht="13.5">
      <c r="A1045" s="796"/>
    </row>
    <row r="1046" spans="1:2" ht="13.5">
      <c r="A1046" s="796"/>
    </row>
    <row r="1047" spans="1:2" ht="13.5">
      <c r="A1047" s="796"/>
    </row>
    <row r="1048" spans="1:2" ht="13.5">
      <c r="A1048" s="796"/>
    </row>
    <row r="1049" spans="1:2" ht="13.5">
      <c r="A1049" s="796"/>
    </row>
    <row r="1050" spans="1:2" ht="13.5">
      <c r="A1050" s="796"/>
    </row>
  </sheetData>
  <sheetProtection sheet="1" objects="1" scenarios="1"/>
  <mergeCells count="27">
    <mergeCell ref="A1:I1"/>
    <mergeCell ref="B2:C2"/>
    <mergeCell ref="A3:I3"/>
    <mergeCell ref="V47:W47"/>
    <mergeCell ref="A119:I119"/>
    <mergeCell ref="A235:A236"/>
    <mergeCell ref="B235:B236"/>
    <mergeCell ref="D235:E236"/>
    <mergeCell ref="G235:I238"/>
    <mergeCell ref="B238:B239"/>
    <mergeCell ref="D238:E239"/>
    <mergeCell ref="G240:I242"/>
    <mergeCell ref="A241:A242"/>
    <mergeCell ref="B241:B242"/>
    <mergeCell ref="D241:E242"/>
    <mergeCell ref="A248:I248"/>
    <mergeCell ref="B251:C251"/>
    <mergeCell ref="B252:C252"/>
    <mergeCell ref="G252:I252"/>
    <mergeCell ref="G253:I253"/>
    <mergeCell ref="C256:E256"/>
    <mergeCell ref="H301:I301"/>
    <mergeCell ref="G268:I268"/>
    <mergeCell ref="A284:K284"/>
    <mergeCell ref="B285:E285"/>
    <mergeCell ref="F285:I285"/>
    <mergeCell ref="J285:K285"/>
  </mergeCells>
  <conditionalFormatting sqref="C130:I130 C133:I135 C203:I203 C169:I170 C168:D168">
    <cfRule type="cellIs" dxfId="323" priority="2" operator="equal">
      <formula>0</formula>
    </cfRule>
  </conditionalFormatting>
  <conditionalFormatting sqref="B254">
    <cfRule type="expression" dxfId="322" priority="3">
      <formula>$B$253="Miete"</formula>
    </cfRule>
  </conditionalFormatting>
  <conditionalFormatting sqref="B255">
    <cfRule type="expression" dxfId="321" priority="4">
      <formula>B253="Eigentum"</formula>
    </cfRule>
  </conditionalFormatting>
  <conditionalFormatting sqref="B257">
    <cfRule type="expression" dxfId="320" priority="5">
      <formula>B253="Eigentum"</formula>
    </cfRule>
  </conditionalFormatting>
  <conditionalFormatting sqref="B258">
    <cfRule type="expression" dxfId="319" priority="6">
      <formula>B253="Eigentum"</formula>
    </cfRule>
  </conditionalFormatting>
  <conditionalFormatting sqref="C268">
    <cfRule type="expression" dxfId="318" priority="7">
      <formula>C180=C268</formula>
    </cfRule>
  </conditionalFormatting>
  <conditionalFormatting sqref="B256">
    <cfRule type="expression" dxfId="317" priority="8">
      <formula>B256=B102</formula>
    </cfRule>
    <cfRule type="expression" dxfId="316" priority="9">
      <formula>B253="Eigentum"</formula>
    </cfRule>
  </conditionalFormatting>
  <conditionalFormatting sqref="D268">
    <cfRule type="expression" dxfId="315" priority="10">
      <formula>D268=D180</formula>
    </cfRule>
  </conditionalFormatting>
  <conditionalFormatting sqref="E268">
    <cfRule type="expression" dxfId="314" priority="11">
      <formula>E180=E268</formula>
    </cfRule>
  </conditionalFormatting>
  <conditionalFormatting sqref="F268">
    <cfRule type="expression" dxfId="313" priority="12">
      <formula>F180=F268</formula>
    </cfRule>
  </conditionalFormatting>
  <conditionalFormatting sqref="G240:I242">
    <cfRule type="expression" dxfId="312" priority="13">
      <formula>G240&gt;0</formula>
    </cfRule>
  </conditionalFormatting>
  <conditionalFormatting sqref="G235:I238">
    <cfRule type="expression" dxfId="311" priority="14">
      <formula>G235&lt;&gt;""</formula>
    </cfRule>
  </conditionalFormatting>
  <conditionalFormatting sqref="C122:I122">
    <cfRule type="expression" dxfId="310" priority="15">
      <formula>$A$122&gt;0</formula>
    </cfRule>
  </conditionalFormatting>
  <conditionalFormatting sqref="C123:I123">
    <cfRule type="expression" dxfId="309" priority="16">
      <formula>$A$123&gt;0</formula>
    </cfRule>
  </conditionalFormatting>
  <conditionalFormatting sqref="C125:I125">
    <cfRule type="expression" dxfId="308" priority="17">
      <formula>$A$125&gt;0</formula>
    </cfRule>
  </conditionalFormatting>
  <conditionalFormatting sqref="C129:I129">
    <cfRule type="expression" dxfId="307" priority="18">
      <formula>$A$129&gt;0</formula>
    </cfRule>
  </conditionalFormatting>
  <conditionalFormatting sqref="C166:I166">
    <cfRule type="expression" dxfId="306" priority="19">
      <formula>$B$165&gt;0</formula>
    </cfRule>
  </conditionalFormatting>
  <conditionalFormatting sqref="C167:I167">
    <cfRule type="expression" dxfId="305" priority="20">
      <formula>$B$165&gt;0</formula>
    </cfRule>
  </conditionalFormatting>
  <conditionalFormatting sqref="C175:D175">
    <cfRule type="expression" dxfId="304" priority="21">
      <formula>$B$174&gt;0</formula>
    </cfRule>
  </conditionalFormatting>
  <conditionalFormatting sqref="C176:D176">
    <cfRule type="expression" dxfId="303" priority="22">
      <formula>$B$174&gt;0</formula>
    </cfRule>
  </conditionalFormatting>
  <conditionalFormatting sqref="C181:F181">
    <cfRule type="expression" dxfId="302" priority="23">
      <formula>$A$181&gt;0</formula>
    </cfRule>
  </conditionalFormatting>
  <conditionalFormatting sqref="C182:F182">
    <cfRule type="expression" dxfId="301" priority="24">
      <formula>$A$182&gt;0</formula>
    </cfRule>
  </conditionalFormatting>
  <conditionalFormatting sqref="C184:F184">
    <cfRule type="expression" dxfId="300" priority="25">
      <formula>$A$184&gt;0</formula>
    </cfRule>
  </conditionalFormatting>
  <conditionalFormatting sqref="C186:F186">
    <cfRule type="expression" dxfId="299" priority="26">
      <formula>$A$186&gt;0</formula>
    </cfRule>
  </conditionalFormatting>
  <conditionalFormatting sqref="C209:F209">
    <cfRule type="expression" dxfId="298" priority="27">
      <formula>$A$209&gt;0</formula>
    </cfRule>
  </conditionalFormatting>
  <conditionalFormatting sqref="C210:D210">
    <cfRule type="expression" dxfId="297" priority="28">
      <formula>$A$210&gt;0</formula>
    </cfRule>
  </conditionalFormatting>
  <conditionalFormatting sqref="C263:I263">
    <cfRule type="expression" dxfId="296" priority="29">
      <formula>$A$263&gt;0</formula>
    </cfRule>
  </conditionalFormatting>
  <conditionalFormatting sqref="C261:I261">
    <cfRule type="expression" dxfId="295" priority="30">
      <formula>$A$261&gt;0</formula>
    </cfRule>
  </conditionalFormatting>
  <conditionalFormatting sqref="C267:I267">
    <cfRule type="expression" dxfId="294" priority="31">
      <formula>$A$267&gt;0</formula>
    </cfRule>
  </conditionalFormatting>
  <conditionalFormatting sqref="C280:D280">
    <cfRule type="expression" dxfId="293" priority="32">
      <formula>$B$33&gt;0</formula>
    </cfRule>
  </conditionalFormatting>
  <conditionalFormatting sqref="C144:I144 C143:C144 D143:I143">
    <cfRule type="expression" dxfId="292" priority="33">
      <formula>$A$143&gt;0</formula>
    </cfRule>
  </conditionalFormatting>
  <conditionalFormatting sqref="C142:I142">
    <cfRule type="expression" dxfId="291" priority="34">
      <formula>$A$142&gt;0</formula>
    </cfRule>
  </conditionalFormatting>
  <conditionalFormatting sqref="A104">
    <cfRule type="expression" dxfId="290" priority="35">
      <formula>B102&gt;0</formula>
    </cfRule>
  </conditionalFormatting>
  <conditionalFormatting sqref="B104">
    <cfRule type="expression" dxfId="289" priority="36">
      <formula>B102&gt;0</formula>
    </cfRule>
  </conditionalFormatting>
  <conditionalFormatting sqref="A106">
    <cfRule type="expression" dxfId="288" priority="37">
      <formula>B105&gt;0</formula>
    </cfRule>
  </conditionalFormatting>
  <conditionalFormatting sqref="B106">
    <cfRule type="expression" dxfId="287" priority="38">
      <formula>B105&gt;0</formula>
    </cfRule>
  </conditionalFormatting>
  <conditionalFormatting sqref="A107">
    <cfRule type="expression" dxfId="286" priority="39">
      <formula>B105&gt;0</formula>
    </cfRule>
  </conditionalFormatting>
  <conditionalFormatting sqref="B107">
    <cfRule type="expression" dxfId="285" priority="40">
      <formula>B105&gt;0</formula>
    </cfRule>
  </conditionalFormatting>
  <conditionalFormatting sqref="A166">
    <cfRule type="expression" dxfId="284" priority="41">
      <formula>B165&gt;0</formula>
    </cfRule>
  </conditionalFormatting>
  <conditionalFormatting sqref="A167">
    <cfRule type="expression" dxfId="283" priority="42">
      <formula>B165&gt;0</formula>
    </cfRule>
  </conditionalFormatting>
  <conditionalFormatting sqref="A175">
    <cfRule type="expression" dxfId="282" priority="43">
      <formula>B174&gt;0</formula>
    </cfRule>
  </conditionalFormatting>
  <conditionalFormatting sqref="A176">
    <cfRule type="expression" dxfId="281" priority="44">
      <formula>B174&gt;0</formula>
    </cfRule>
  </conditionalFormatting>
  <conditionalFormatting sqref="A181">
    <cfRule type="expression" dxfId="280" priority="45">
      <formula>B180&gt;0</formula>
    </cfRule>
  </conditionalFormatting>
  <conditionalFormatting sqref="A182">
    <cfRule type="expression" dxfId="279" priority="46">
      <formula>B180&gt;0</formula>
    </cfRule>
  </conditionalFormatting>
  <conditionalFormatting sqref="A184">
    <cfRule type="expression" dxfId="278" priority="47">
      <formula>B180&gt;0</formula>
    </cfRule>
  </conditionalFormatting>
  <conditionalFormatting sqref="A186">
    <cfRule type="expression" dxfId="277" priority="48">
      <formula>B180&gt;0</formula>
    </cfRule>
  </conditionalFormatting>
  <conditionalFormatting sqref="A209">
    <cfRule type="expression" dxfId="276" priority="49">
      <formula>B208&gt;0</formula>
    </cfRule>
  </conditionalFormatting>
  <conditionalFormatting sqref="A210">
    <cfRule type="expression" dxfId="275" priority="50">
      <formula>B208&gt;0</formula>
    </cfRule>
  </conditionalFormatting>
  <conditionalFormatting sqref="A142">
    <cfRule type="cellIs" dxfId="274" priority="51" operator="notEqual">
      <formula>0</formula>
    </cfRule>
  </conditionalFormatting>
  <conditionalFormatting sqref="A143:A144">
    <cfRule type="cellIs" dxfId="273" priority="52" operator="notEqual">
      <formula>0</formula>
    </cfRule>
  </conditionalFormatting>
  <conditionalFormatting sqref="A137">
    <cfRule type="cellIs" dxfId="272" priority="53" operator="notEqual">
      <formula>0</formula>
    </cfRule>
  </conditionalFormatting>
  <conditionalFormatting sqref="A132">
    <cfRule type="cellIs" dxfId="271" priority="54" operator="notEqual">
      <formula>0</formula>
    </cfRule>
  </conditionalFormatting>
  <conditionalFormatting sqref="A129">
    <cfRule type="cellIs" dxfId="270" priority="55" operator="notEqual">
      <formula>0</formula>
    </cfRule>
  </conditionalFormatting>
  <conditionalFormatting sqref="C34:D34">
    <cfRule type="expression" dxfId="269" priority="56">
      <formula>C8&gt;0</formula>
    </cfRule>
  </conditionalFormatting>
  <conditionalFormatting sqref="D34">
    <cfRule type="expression" dxfId="268" priority="57">
      <formula>D8&gt;0</formula>
    </cfRule>
  </conditionalFormatting>
  <conditionalFormatting sqref="E34">
    <cfRule type="expression" dxfId="267" priority="58">
      <formula>E8&gt;0</formula>
    </cfRule>
  </conditionalFormatting>
  <conditionalFormatting sqref="F34">
    <cfRule type="expression" dxfId="266" priority="59">
      <formula>F8&gt;0</formula>
    </cfRule>
  </conditionalFormatting>
  <conditionalFormatting sqref="G34">
    <cfRule type="expression" dxfId="265" priority="60">
      <formula>G8&gt;0</formula>
    </cfRule>
  </conditionalFormatting>
  <conditionalFormatting sqref="H34">
    <cfRule type="expression" dxfId="264" priority="61">
      <formula>H8&gt;0</formula>
    </cfRule>
  </conditionalFormatting>
  <conditionalFormatting sqref="I34">
    <cfRule type="expression" dxfId="263" priority="62">
      <formula>I8&gt;0</formula>
    </cfRule>
  </conditionalFormatting>
  <conditionalFormatting sqref="C35">
    <cfRule type="expression" dxfId="262" priority="63">
      <formula>C8&gt;0</formula>
    </cfRule>
  </conditionalFormatting>
  <conditionalFormatting sqref="D35">
    <cfRule type="expression" dxfId="261" priority="64">
      <formula>D8&gt;0</formula>
    </cfRule>
  </conditionalFormatting>
  <conditionalFormatting sqref="E35">
    <cfRule type="expression" dxfId="260" priority="65">
      <formula>E8&gt;0</formula>
    </cfRule>
  </conditionalFormatting>
  <conditionalFormatting sqref="F35">
    <cfRule type="expression" dxfId="259" priority="66">
      <formula>F8&gt;0</formula>
    </cfRule>
  </conditionalFormatting>
  <conditionalFormatting sqref="G35">
    <cfRule type="expression" dxfId="258" priority="67">
      <formula>G8&gt;0</formula>
    </cfRule>
  </conditionalFormatting>
  <conditionalFormatting sqref="H35">
    <cfRule type="expression" dxfId="257" priority="68">
      <formula>H8&gt;0</formula>
    </cfRule>
  </conditionalFormatting>
  <conditionalFormatting sqref="I35">
    <cfRule type="expression" dxfId="256" priority="69">
      <formula>I8&gt;0</formula>
    </cfRule>
  </conditionalFormatting>
  <conditionalFormatting sqref="D37:I37">
    <cfRule type="expression" dxfId="255" priority="70">
      <formula>D8&gt;0</formula>
    </cfRule>
  </conditionalFormatting>
  <conditionalFormatting sqref="C46">
    <cfRule type="expression" dxfId="254" priority="71">
      <formula>AND(C8&gt;0,D8=0,E8&gt;0)</formula>
    </cfRule>
  </conditionalFormatting>
  <conditionalFormatting sqref="C91:I91">
    <cfRule type="expression" dxfId="253" priority="72">
      <formula>C8&gt;0</formula>
    </cfRule>
  </conditionalFormatting>
  <conditionalFormatting sqref="D91">
    <cfRule type="expression" dxfId="252" priority="73">
      <formula>D8&gt;0</formula>
    </cfRule>
  </conditionalFormatting>
  <conditionalFormatting sqref="E91">
    <cfRule type="expression" dxfId="251" priority="74">
      <formula>E8&gt;0</formula>
    </cfRule>
  </conditionalFormatting>
  <conditionalFormatting sqref="F91">
    <cfRule type="expression" dxfId="250" priority="75">
      <formula>F8&gt;0</formula>
    </cfRule>
  </conditionalFormatting>
  <conditionalFormatting sqref="G91">
    <cfRule type="expression" dxfId="249" priority="76">
      <formula>G8&gt;0</formula>
    </cfRule>
  </conditionalFormatting>
  <conditionalFormatting sqref="H91">
    <cfRule type="expression" dxfId="248" priority="77">
      <formula>H8&gt;0</formula>
    </cfRule>
  </conditionalFormatting>
  <conditionalFormatting sqref="I91">
    <cfRule type="expression" dxfId="247" priority="78">
      <formula>I8&gt;0</formula>
    </cfRule>
  </conditionalFormatting>
  <conditionalFormatting sqref="C93:I93">
    <cfRule type="expression" dxfId="246" priority="79">
      <formula>C8&gt;0</formula>
    </cfRule>
  </conditionalFormatting>
  <conditionalFormatting sqref="C94:I94">
    <cfRule type="expression" dxfId="245" priority="80">
      <formula>C8&gt;0</formula>
    </cfRule>
  </conditionalFormatting>
  <conditionalFormatting sqref="C99:I99">
    <cfRule type="expression" dxfId="244" priority="81">
      <formula>C8&gt;0</formula>
    </cfRule>
  </conditionalFormatting>
  <conditionalFormatting sqref="C117:I117">
    <cfRule type="expression" dxfId="243" priority="82">
      <formula>C8&gt;0</formula>
    </cfRule>
  </conditionalFormatting>
  <conditionalFormatting sqref="C128:I128">
    <cfRule type="expression" dxfId="242" priority="83">
      <formula>C8&gt;0</formula>
    </cfRule>
  </conditionalFormatting>
  <conditionalFormatting sqref="D128">
    <cfRule type="expression" dxfId="241" priority="84">
      <formula>D8&gt;0</formula>
    </cfRule>
  </conditionalFormatting>
  <conditionalFormatting sqref="E128">
    <cfRule type="expression" dxfId="240" priority="85">
      <formula>E8&gt;0</formula>
    </cfRule>
  </conditionalFormatting>
  <conditionalFormatting sqref="F128">
    <cfRule type="expression" dxfId="239" priority="86">
      <formula>F8&gt;0</formula>
    </cfRule>
  </conditionalFormatting>
  <conditionalFormatting sqref="G128">
    <cfRule type="expression" dxfId="238" priority="87">
      <formula>G8&gt;0</formula>
    </cfRule>
  </conditionalFormatting>
  <conditionalFormatting sqref="H128">
    <cfRule type="expression" dxfId="237" priority="88">
      <formula>H8&gt;0</formula>
    </cfRule>
  </conditionalFormatting>
  <conditionalFormatting sqref="I128">
    <cfRule type="expression" dxfId="236" priority="89">
      <formula>I8&gt;0</formula>
    </cfRule>
  </conditionalFormatting>
  <conditionalFormatting sqref="C132:I132">
    <cfRule type="expression" dxfId="235" priority="90">
      <formula>C8&gt;0</formula>
    </cfRule>
  </conditionalFormatting>
  <conditionalFormatting sqref="C136:I136">
    <cfRule type="expression" dxfId="234" priority="91">
      <formula>C8&gt;0</formula>
    </cfRule>
  </conditionalFormatting>
  <conditionalFormatting sqref="C137:I137">
    <cfRule type="expression" dxfId="233" priority="92">
      <formula>C8&gt;0</formula>
    </cfRule>
  </conditionalFormatting>
  <conditionalFormatting sqref="C138:I138">
    <cfRule type="expression" dxfId="232" priority="93">
      <formula>C8&gt;0</formula>
    </cfRule>
  </conditionalFormatting>
  <conditionalFormatting sqref="C139:I139">
    <cfRule type="expression" dxfId="231" priority="94">
      <formula>C8&gt;0</formula>
    </cfRule>
  </conditionalFormatting>
  <conditionalFormatting sqref="C165:I165">
    <cfRule type="expression" dxfId="230" priority="95">
      <formula>C8&gt;0</formula>
    </cfRule>
  </conditionalFormatting>
  <conditionalFormatting sqref="C174:D174">
    <cfRule type="expression" dxfId="229" priority="96">
      <formula>C8&gt;0</formula>
    </cfRule>
  </conditionalFormatting>
  <conditionalFormatting sqref="C180:F180">
    <cfRule type="expression" dxfId="228" priority="97">
      <formula>C8&gt;0</formula>
    </cfRule>
  </conditionalFormatting>
  <conditionalFormatting sqref="C192">
    <cfRule type="expression" dxfId="227" priority="98">
      <formula>C8&gt;0</formula>
    </cfRule>
  </conditionalFormatting>
  <conditionalFormatting sqref="D192">
    <cfRule type="expression" dxfId="226" priority="99">
      <formula>D8&gt;0</formula>
    </cfRule>
  </conditionalFormatting>
  <conditionalFormatting sqref="E192">
    <cfRule type="expression" dxfId="225" priority="100">
      <formula>E8&gt;0</formula>
    </cfRule>
  </conditionalFormatting>
  <conditionalFormatting sqref="F192">
    <cfRule type="expression" dxfId="224" priority="101">
      <formula>F8&gt;0</formula>
    </cfRule>
  </conditionalFormatting>
  <conditionalFormatting sqref="G192">
    <cfRule type="expression" dxfId="223" priority="102">
      <formula>G8&gt;0</formula>
    </cfRule>
  </conditionalFormatting>
  <conditionalFormatting sqref="H192">
    <cfRule type="expression" dxfId="222" priority="103">
      <formula>H8&gt;0</formula>
    </cfRule>
  </conditionalFormatting>
  <conditionalFormatting sqref="I192">
    <cfRule type="expression" dxfId="221" priority="104">
      <formula>I8&gt;0</formula>
    </cfRule>
  </conditionalFormatting>
  <conditionalFormatting sqref="C193:I193">
    <cfRule type="expression" dxfId="220" priority="105">
      <formula>C8&gt;0</formula>
    </cfRule>
  </conditionalFormatting>
  <conditionalFormatting sqref="F194">
    <cfRule type="expression" dxfId="219" priority="106">
      <formula>F8&gt;0</formula>
    </cfRule>
  </conditionalFormatting>
  <conditionalFormatting sqref="G194">
    <cfRule type="expression" dxfId="218" priority="107">
      <formula>G8&gt;0</formula>
    </cfRule>
  </conditionalFormatting>
  <conditionalFormatting sqref="H194">
    <cfRule type="expression" dxfId="217" priority="108">
      <formula>H8&gt;0</formula>
    </cfRule>
  </conditionalFormatting>
  <conditionalFormatting sqref="I194">
    <cfRule type="expression" dxfId="216" priority="109">
      <formula>I8&gt;0</formula>
    </cfRule>
  </conditionalFormatting>
  <conditionalFormatting sqref="C196:I196">
    <cfRule type="expression" dxfId="215" priority="110">
      <formula>C8&gt;0</formula>
    </cfRule>
  </conditionalFormatting>
  <conditionalFormatting sqref="C197:D197">
    <cfRule type="expression" dxfId="214" priority="111">
      <formula>C8&gt;0</formula>
    </cfRule>
  </conditionalFormatting>
  <conditionalFormatting sqref="C198:I198">
    <cfRule type="expression" dxfId="213" priority="112">
      <formula>C8&gt;0</formula>
    </cfRule>
  </conditionalFormatting>
  <conditionalFormatting sqref="C199:I199">
    <cfRule type="expression" dxfId="212" priority="113">
      <formula>C8&gt;0</formula>
    </cfRule>
  </conditionalFormatting>
  <conditionalFormatting sqref="C204:I204">
    <cfRule type="expression" dxfId="211" priority="114">
      <formula>C8&gt;0</formula>
    </cfRule>
  </conditionalFormatting>
  <conditionalFormatting sqref="C205:I205">
    <cfRule type="expression" dxfId="210" priority="115">
      <formula>C8&gt;0</formula>
    </cfRule>
  </conditionalFormatting>
  <conditionalFormatting sqref="C218:I218">
    <cfRule type="expression" dxfId="209" priority="116">
      <formula>C8&gt;0</formula>
    </cfRule>
  </conditionalFormatting>
  <conditionalFormatting sqref="C219:D219">
    <cfRule type="expression" dxfId="208" priority="117">
      <formula>C8&gt;0</formula>
    </cfRule>
  </conditionalFormatting>
  <conditionalFormatting sqref="C221:I221">
    <cfRule type="expression" dxfId="207" priority="118">
      <formula>C8&gt;0</formula>
    </cfRule>
  </conditionalFormatting>
  <conditionalFormatting sqref="C222:I222">
    <cfRule type="expression" dxfId="206" priority="119">
      <formula>C8&gt;0</formula>
    </cfRule>
  </conditionalFormatting>
  <conditionalFormatting sqref="C226:E227">
    <cfRule type="expression" dxfId="205" priority="120">
      <formula>C8&gt;0</formula>
    </cfRule>
  </conditionalFormatting>
  <conditionalFormatting sqref="C228:E228">
    <cfRule type="expression" dxfId="204" priority="121">
      <formula>C9&gt;0</formula>
    </cfRule>
  </conditionalFormatting>
  <conditionalFormatting sqref="C227:I228">
    <cfRule type="expression" dxfId="203" priority="122">
      <formula>C9&gt;0</formula>
    </cfRule>
  </conditionalFormatting>
  <conditionalFormatting sqref="C37:E37">
    <cfRule type="expression" dxfId="202" priority="123">
      <formula>C8&gt;0</formula>
    </cfRule>
  </conditionalFormatting>
  <conditionalFormatting sqref="E168:I168">
    <cfRule type="cellIs" dxfId="201" priority="124" operator="equal">
      <formula>0</formula>
    </cfRule>
  </conditionalFormatting>
  <conditionalFormatting sqref="E194">
    <cfRule type="expression" dxfId="200" priority="125">
      <formula>E8&gt;0</formula>
    </cfRule>
  </conditionalFormatting>
  <dataValidations count="37">
    <dataValidation operator="equal" allowBlank="1" showInputMessage="1" showErrorMessage="1" prompt="Name eingeben" sqref="B2:C2">
      <formula1>0</formula1>
      <formula2>0</formula2>
    </dataValidation>
    <dataValidation type="date" operator="greaterThanOrEqual" allowBlank="1" showInputMessage="1" showErrorMessage="1" error="bitte Datum ab 01.08.2016 eingeben" prompt="bitte immer_x000a_Monatsersten_x000a_eingeben,_x000a_z.B. 01.01.2013" sqref="E2">
      <formula1>42583</formula1>
      <formula2>0</formula2>
    </dataValidation>
    <dataValidation type="list" operator="equal" allowBlank="1" showInputMessage="1" showErrorMessage="1" sqref="C4">
      <formula1>"Antragsteller,Elternteil 1"</formula1>
      <formula2>0</formula2>
    </dataValidation>
    <dataValidation type="list" operator="equal" allowBlank="1" showInputMessage="1" showErrorMessage="1" sqref="D4">
      <formula1>"Partner(in),Elternteil 2"</formula1>
      <formula2>0</formula2>
    </dataValidation>
    <dataValidation type="list" operator="equal" allowBlank="1" showInputMessage="1" showErrorMessage="1" sqref="E4">
      <formula1>"Kind 1,Kind Antragst."</formula1>
      <formula2>0</formula2>
    </dataValidation>
    <dataValidation operator="equal" allowBlank="1" showInputMessage="1" showErrorMessage="1" promptTitle="bitte beachten:" prompt="hier die Zahl der Personen eintragen, die im gemeinsamen Haushalt leben, aber nicht zur Bedarfsgemeinschaft rechnen, z.B. Großeltern, Onkel" sqref="B5">
      <formula1>0</formula1>
      <formula2>0</formula2>
    </dataValidation>
    <dataValidation operator="equal" allowBlank="1" showInputMessage="1" showErrorMessage="1" promptTitle="Name eingeben" prompt="                " sqref="C6:E6 G6">
      <formula1>0</formula1>
      <formula2>0</formula2>
    </dataValidation>
    <dataValidation operator="equal" allowBlank="1" showInputMessage="1" showErrorMessage="1" promptTitle="Name eingeben" prompt="        " sqref="F6 H6:I6">
      <formula1>0</formula1>
      <formula2>0</formula2>
    </dataValidation>
    <dataValidation type="list" operator="equal" allowBlank="1" showInputMessage="1" showErrorMessage="1" sqref="B96:B97 F34:I34 E35:I35">
      <formula1>"ja,nein"</formula1>
      <formula2>0</formula2>
    </dataValidation>
    <dataValidation type="list" operator="equal" allowBlank="1" showInputMessage="1" showErrorMessage="1" sqref="E34">
      <formula1>"ja,nein"</formula1>
      <formula2>0</formula2>
    </dataValidation>
    <dataValidation type="list" operator="equal" allowBlank="1" showInputMessage="1" showErrorMessage="1" sqref="C35:D35">
      <formula1>"ja,nur Mehrbedarf,nein"</formula1>
      <formula2>0</formula2>
    </dataValidation>
    <dataValidation operator="equal" allowBlank="1" showInputMessage="1" showErrorMessage="1" prompt="bitte die Kosten für_x000a_die Haushalts-_x000a_gemeinschaft_x000a_eintragen" sqref="B102">
      <formula1>0</formula1>
      <formula2>0</formula2>
    </dataValidation>
    <dataValidation type="list" operator="equal" allowBlank="1" showInputMessage="1" showErrorMessage="1" sqref="B109">
      <formula1>"ja"</formula1>
      <formula2>0</formula2>
    </dataValidation>
    <dataValidation operator="equal" allowBlank="1" showInputMessage="1" showErrorMessage="1" error="Person nicht erwerbsfähig oder Altersrente; Fahrtkosten nur in nachgewiesener Höhe!" sqref="C122:I122">
      <formula1>0</formula1>
      <formula2>0</formula2>
    </dataValidation>
    <dataValidation operator="equal" allowBlank="1" showInputMessage="1" showErrorMessage="1" promptTitle="Berechnung Durchschnittslohn" prompt="kann weiter unten ermittelt werden" sqref="C128:I128">
      <formula1>0</formula1>
      <formula2>0</formula2>
    </dataValidation>
    <dataValidation type="list" operator="equal" allowBlank="1" showInputMessage="1" showErrorMessage="1" sqref="C129:I129">
      <formula1>"Vollverpflegung,Frühstück,Mittagessen,Abendessen"</formula1>
      <formula2>0</formula2>
    </dataValidation>
    <dataValidation type="list" operator="equal" allowBlank="1" showInputMessage="1" showErrorMessage="1" sqref="A139">
      <formula1>"weitere Einnahmen aus Erwerbstätigkeit (siehe Liste),Kurzarbeitergeld,Insolvenzgeld,Zuschuss zum Mutterschaftsgeld,Gewinn aus selbständiger Tätigkeit"</formula1>
      <formula2>0</formula2>
    </dataValidation>
    <dataValidation operator="equal" allowBlank="1" showInputMessage="1" showErrorMessage="1" promptTitle="Art der Einnahme" prompt="aus Liste ausgewählt?" sqref="C139:I139">
      <formula1>0</formula1>
      <formula2>0</formula2>
    </dataValidation>
    <dataValidation type="list" operator="equal" allowBlank="1" showInputMessage="1" showErrorMessage="1" sqref="C166:I166">
      <formula1>"Vollverpflegung,Frühstück,Mittagessen,Abendessen"</formula1>
      <formula2>0</formula2>
    </dataValidation>
    <dataValidation type="list" operator="equal" allowBlank="1" showInputMessage="1" showErrorMessage="1" sqref="C167:I167">
      <formula1>"23,22,21,20,19,18,17,16,15"</formula1>
      <formula2>0</formula2>
    </dataValidation>
    <dataValidation type="list" operator="equal" allowBlank="1" showInputMessage="1" showErrorMessage="1" sqref="A180">
      <formula1>"Leistungen der Ausbildungsförderung (siehe Liste),BAföG,Berufsausbildungsbeihilfe,Ausbildungsgeld,Unterhaltsbeitrag nach AFBG"</formula1>
      <formula2>0</formula2>
    </dataValidation>
    <dataValidation type="decimal" operator="lessThan" allowBlank="1" showInputMessage="1" showErrorMessage="1" errorTitle="Anspruch" error="anspruchsberechtigt?" promptTitle="Art der Einnahme" prompt="aus Liste ausgewählt?" sqref="C180:F180">
      <formula1>0.01</formula1>
      <formula2>0</formula2>
    </dataValidation>
    <dataValidation operator="equal" allowBlank="1" showInputMessage="1" showErrorMessage="1" promptTitle="Schultage" prompt="sofern nicht bereits bei Ausbildungs-vergütung berücksichtigt" sqref="C181:F181">
      <formula1>0</formula1>
      <formula2>0</formula2>
    </dataValidation>
    <dataValidation operator="equal" allowBlank="1" showInputMessage="1" showErrorMessage="1" prompt="sofern die Kosten nicht bereits bei der Ausbildungsvergütung berücksichtigt sind" sqref="C184:F184">
      <formula1>0</formula1>
      <formula2>0</formula2>
    </dataValidation>
    <dataValidation operator="equal" allowBlank="1" showInputMessage="1" showErrorMessage="1" error="Antragsteller kann kein Altersrentner sein!" sqref="C197:D197">
      <formula1>0</formula1>
      <formula2>0</formula2>
    </dataValidation>
    <dataValidation operator="equal" allowBlank="1" showInputMessage="1" showErrorMessage="1" error="Person anspruchsberechtigt?" promptTitle="Art der Einnahme" prompt="aus Liste ausgewählt?" sqref="C198:I198">
      <formula1>0</formula1>
      <formula2>0</formula2>
    </dataValidation>
    <dataValidation type="decimal" operator="lessThan" allowBlank="1" showInputMessage="1" showErrorMessage="1" error="Kommentar beachtet?" sqref="C205:I206">
      <formula1>0.01</formula1>
      <formula2>0</formula2>
    </dataValidation>
    <dataValidation type="list" operator="equal" allowBlank="1" showInputMessage="1" showErrorMessage="1" sqref="C221:I221">
      <formula1>"einmal,zweimal,dreimal"</formula1>
      <formula2>0</formula2>
    </dataValidation>
    <dataValidation type="list" operator="equal" allowBlank="1" showInputMessage="1" showErrorMessage="1" sqref="C222:I222">
      <formula1>"1. PV,2. PV,3. PV"</formula1>
      <formula2>0</formula2>
    </dataValidation>
    <dataValidation type="list" operator="equal" allowBlank="1" showInputMessage="1" showErrorMessage="1" sqref="C226:E228">
      <formula1>"über 25,unter 25"</formula1>
      <formula2>0</formula2>
    </dataValidation>
    <dataValidation type="date" operator="greaterThan" allowBlank="1" showInputMessage="1" showErrorMessage="1" sqref="D231">
      <formula1>E2</formula1>
      <formula2>0</formula2>
    </dataValidation>
    <dataValidation type="list" operator="equal" allowBlank="1" showInputMessage="1" showErrorMessage="1" sqref="F252">
      <formula1>"I,II,III,IV,V,VI"</formula1>
      <formula2>0</formula2>
    </dataValidation>
    <dataValidation type="whole" operator="greaterThan" allowBlank="1" showInputMessage="1" showErrorMessage="1" error="nur Beträge über 1000 € eingeben" prompt="maßgebend sind die steuerrechtlichen Werbungskosten, z.B. lt. letztem Steuerbescheid" sqref="C261:I261">
      <formula1>1000</formula1>
      <formula2>0</formula2>
    </dataValidation>
    <dataValidation type="list" operator="equal" allowBlank="1" showErrorMessage="1" sqref="C272:I274">
      <formula1>"Ja,Nein"</formula1>
      <formula2>0</formula2>
    </dataValidation>
    <dataValidation type="list" operator="equal" allowBlank="1" showErrorMessage="1" sqref="C277:I278">
      <formula1>"Ja,Nein"</formula1>
      <formula2>0</formula2>
    </dataValidation>
    <dataValidation type="list" operator="equal" allowBlank="1" showInputMessage="1" showErrorMessage="1" sqref="B301">
      <formula1>"Antragsteller,Partner(in),Kind 1"</formula1>
      <formula2>0</formula2>
    </dataValidation>
    <dataValidation operator="equal" allowBlank="1" showInputMessage="1" showErrorMessage="1" sqref="C34:D34"/>
  </dataValidations>
  <hyperlinks>
    <hyperlink ref="B93" location="Bedarfssätze!A60" display="Liste Ernährung"/>
    <hyperlink ref="D235" location="Berechnung!A1" display="Berechnung anzeigen"/>
    <hyperlink ref="D238" location="Wohngeld!A1" display="Berechnung anzeigen"/>
    <hyperlink ref="D241" location="Kinderzuschlag!A1" display="Berechnung anzeigen"/>
    <hyperlink ref="A282" location="Eingabetabelle!A142" display="Zurück"/>
  </hyperlinks>
  <pageMargins left="1.25972222222222" right="0.196527777777778" top="0.39374999999999999" bottom="0.39374999999999999" header="0.51180555555555496" footer="0.51180555555555496"/>
  <pageSetup paperSize="9" firstPageNumber="0" orientation="portrait" horizontalDpi="300" verticalDpi="300"/>
  <colBreaks count="1" manualBreakCount="1">
    <brk id="9" max="1048575" man="1"/>
  </colBreaks>
  <legacyDrawing r:id="rId1"/>
</worksheet>
</file>

<file path=xl/worksheets/sheet4.xml><?xml version="1.0" encoding="utf-8"?>
<worksheet xmlns="http://schemas.openxmlformats.org/spreadsheetml/2006/main" xmlns:r="http://schemas.openxmlformats.org/officeDocument/2006/relationships">
  <dimension ref="A1:BL239"/>
  <sheetViews>
    <sheetView showGridLines="0" topLeftCell="A14" zoomScale="124" zoomScaleNormal="124" workbookViewId="0">
      <selection activeCell="C19" sqref="C19"/>
    </sheetView>
  </sheetViews>
  <sheetFormatPr baseColWidth="10" defaultColWidth="11.5703125" defaultRowHeight="16.5"/>
  <cols>
    <col min="1" max="1" width="33.28515625" style="801" customWidth="1"/>
    <col min="2" max="2" width="15.7109375" style="801" customWidth="1"/>
    <col min="3" max="9" width="13.7109375" style="801" customWidth="1"/>
    <col min="10" max="10" width="5.140625" style="801" customWidth="1"/>
    <col min="11" max="11" width="38.42578125" style="801" customWidth="1"/>
    <col min="12" max="19" width="11.42578125" style="801" customWidth="1"/>
    <col min="20" max="20" width="5.7109375" style="801" customWidth="1"/>
    <col min="21" max="21" width="50.7109375" style="801" customWidth="1"/>
    <col min="22" max="22" width="16.28515625" style="801" customWidth="1"/>
    <col min="23" max="23" width="15.42578125" style="801" customWidth="1"/>
    <col min="24" max="24" width="14.140625" style="801" customWidth="1"/>
    <col min="25" max="29" width="11.42578125" style="801" customWidth="1"/>
    <col min="30" max="30" width="5.42578125" style="801" customWidth="1"/>
    <col min="31" max="31" width="47.7109375" style="801" customWidth="1"/>
    <col min="32" max="32" width="11.42578125" style="801" customWidth="1"/>
    <col min="33" max="33" width="13.28515625" style="801" customWidth="1"/>
    <col min="34" max="34" width="13.140625" style="801" customWidth="1"/>
    <col min="35" max="35" width="12.5703125" style="801" customWidth="1"/>
    <col min="36" max="36" width="12.85546875" style="801" customWidth="1"/>
    <col min="37" max="37" width="12.7109375" style="801" customWidth="1"/>
    <col min="38" max="64" width="11.42578125" style="801" customWidth="1"/>
  </cols>
  <sheetData>
    <row r="1" spans="1:37" ht="20.100000000000001" customHeight="1">
      <c r="H1" s="802" t="s">
        <v>2156</v>
      </c>
      <c r="I1" s="803">
        <f ca="1">TODAY()</f>
        <v>44774</v>
      </c>
    </row>
    <row r="2" spans="1:37" ht="30" customHeight="1">
      <c r="A2" s="1986" t="s">
        <v>2157</v>
      </c>
      <c r="B2" s="1986"/>
      <c r="C2" s="1986"/>
      <c r="D2" s="1986"/>
      <c r="E2" s="1986"/>
      <c r="F2" s="1986"/>
      <c r="G2" s="1986"/>
      <c r="H2" s="1986"/>
      <c r="I2" s="1986"/>
      <c r="J2" s="804"/>
      <c r="K2" s="1987" t="str">
        <f>Wohngeld!A2</f>
        <v>Berechnung eines möglichen Wohngeldanspruchs</v>
      </c>
      <c r="L2" s="1987"/>
      <c r="M2" s="1987"/>
      <c r="N2" s="1987"/>
      <c r="O2" s="1987"/>
      <c r="P2" s="1987"/>
      <c r="Q2" s="1987"/>
      <c r="R2" s="1987"/>
      <c r="S2" s="1987"/>
      <c r="T2" s="805"/>
      <c r="U2" s="1988" t="str">
        <f>Kinderzuschlag!A162</f>
        <v>Möglicher Anspruch auf Kinderzuschlag</v>
      </c>
      <c r="V2" s="1988"/>
      <c r="W2" s="1988"/>
      <c r="X2" s="1988"/>
      <c r="Y2" s="1988"/>
      <c r="Z2" s="1988"/>
      <c r="AA2" s="1988"/>
      <c r="AB2" s="1988"/>
      <c r="AC2" s="1988"/>
      <c r="AD2" s="805"/>
      <c r="AE2" s="1989" t="str">
        <f>ZuschussKV!A2</f>
        <v xml:space="preserve">   Notwendige Daten zur Berechnung des Zuschusses zu den Versicherungsbeiträgen</v>
      </c>
      <c r="AF2" s="1989"/>
      <c r="AG2" s="1989"/>
      <c r="AH2" s="1989"/>
      <c r="AI2" s="1989"/>
      <c r="AJ2" s="1989"/>
      <c r="AK2" s="1989"/>
    </row>
    <row r="3" spans="1:37" ht="20.25">
      <c r="A3" s="806" t="s">
        <v>138</v>
      </c>
      <c r="B3" s="1990">
        <f>Zusatzeingaben!B2</f>
        <v>0</v>
      </c>
      <c r="C3" s="1990"/>
      <c r="D3" s="807" t="s">
        <v>139</v>
      </c>
      <c r="E3" s="808">
        <f>Eingabetabelle!H13</f>
        <v>44774</v>
      </c>
      <c r="F3" s="809" t="s">
        <v>2158</v>
      </c>
      <c r="G3" s="810">
        <f>Zusatzeingaben!F2</f>
        <v>44804</v>
      </c>
      <c r="H3" s="811"/>
      <c r="I3" s="812"/>
      <c r="J3" s="804"/>
      <c r="K3" s="806" t="str">
        <f>Wohngeld!A3</f>
        <v>Antragsteller:</v>
      </c>
      <c r="L3" s="1990">
        <f>Wohngeld!B3</f>
        <v>0</v>
      </c>
      <c r="M3" s="1990"/>
      <c r="N3" s="807" t="str">
        <f>Wohngeld!D3</f>
        <v>gültig ab:</v>
      </c>
      <c r="O3" s="813">
        <f>Wohngeld!E3</f>
        <v>44774</v>
      </c>
      <c r="P3" s="809" t="str">
        <f>Wohngeld!F3</f>
        <v>bis</v>
      </c>
      <c r="Q3" s="814">
        <f>Wohngeld!G3</f>
        <v>44804</v>
      </c>
      <c r="R3" s="811">
        <f>Wohngeld!H3</f>
        <v>0</v>
      </c>
      <c r="S3" s="812">
        <f>Wohngeld!I3</f>
        <v>0</v>
      </c>
      <c r="T3" s="805"/>
      <c r="U3" s="815" t="str">
        <f>Kinderzuschlag!A165</f>
        <v>Prüfschritte</v>
      </c>
      <c r="V3" s="816" t="str">
        <f>Kinderzuschlag!B165</f>
        <v>BG insgesamt</v>
      </c>
      <c r="W3" s="816" t="str">
        <f>Kinderzuschlag!C165</f>
        <v>Antragsteller</v>
      </c>
      <c r="X3" s="816" t="str">
        <f>Kinderzuschlag!D165</f>
        <v>Partner(in)</v>
      </c>
      <c r="Y3" s="816" t="str">
        <f>Kinderzuschlag!E165</f>
        <v>Kind 1</v>
      </c>
      <c r="Z3" s="816" t="str">
        <f>Kinderzuschlag!F165</f>
        <v>Kind 2</v>
      </c>
      <c r="AA3" s="816" t="str">
        <f>Kinderzuschlag!G165</f>
        <v>Kind 3</v>
      </c>
      <c r="AB3" s="816" t="str">
        <f>Kinderzuschlag!H165</f>
        <v>Kind 4</v>
      </c>
      <c r="AC3" s="817" t="str">
        <f>Kinderzuschlag!I165</f>
        <v>Kind 5</v>
      </c>
      <c r="AD3" s="805"/>
      <c r="AE3" s="400">
        <f>ZuschussKV!A3</f>
        <v>0</v>
      </c>
      <c r="AF3" s="393">
        <f>ZuschussKV!B3</f>
        <v>0</v>
      </c>
      <c r="AG3" s="393">
        <f>ZuschussKV!C3</f>
        <v>0</v>
      </c>
      <c r="AH3" s="393">
        <f>ZuschussKV!D3</f>
        <v>0</v>
      </c>
      <c r="AI3" s="393">
        <f>ZuschussKV!E3</f>
        <v>0</v>
      </c>
      <c r="AJ3" s="393">
        <f>ZuschussKV!F3</f>
        <v>0</v>
      </c>
      <c r="AK3" s="461">
        <f>ZuschussKV!G3</f>
        <v>0</v>
      </c>
    </row>
    <row r="4" spans="1:37" ht="16.899999999999999" customHeight="1">
      <c r="J4" s="804"/>
      <c r="K4" s="818">
        <f>Wohngeld!A4</f>
        <v>0</v>
      </c>
      <c r="L4" s="819">
        <f>Wohngeld!B4</f>
        <v>0</v>
      </c>
      <c r="M4" s="818">
        <f>Wohngeld!C4</f>
        <v>0</v>
      </c>
      <c r="N4" s="818">
        <f>Wohngeld!D4</f>
        <v>0</v>
      </c>
      <c r="O4" s="818">
        <f>Wohngeld!E4</f>
        <v>0</v>
      </c>
      <c r="P4" s="818">
        <f>Wohngeld!F4</f>
        <v>0</v>
      </c>
      <c r="Q4" s="818">
        <f>Wohngeld!G4</f>
        <v>0</v>
      </c>
      <c r="R4" s="818">
        <f>Wohngeld!H4</f>
        <v>0</v>
      </c>
      <c r="S4" s="818">
        <f>Wohngeld!I4</f>
        <v>0</v>
      </c>
      <c r="T4" s="805"/>
      <c r="U4" s="820" t="str">
        <f>Kinderzuschlag!A166</f>
        <v>Anspruch auf Kindergeld</v>
      </c>
      <c r="V4" s="821">
        <f>Kinderzuschlag!B166</f>
        <v>0</v>
      </c>
      <c r="W4" s="821">
        <f>Kinderzuschlag!C166</f>
        <v>0</v>
      </c>
      <c r="X4" s="821">
        <f>Kinderzuschlag!D166</f>
        <v>0</v>
      </c>
      <c r="Y4" s="822" t="str">
        <f>Kinderzuschlag!E166</f>
        <v>nein</v>
      </c>
      <c r="Z4" s="822" t="str">
        <f>Kinderzuschlag!F166</f>
        <v>nein</v>
      </c>
      <c r="AA4" s="822" t="str">
        <f>Kinderzuschlag!G166</f>
        <v>nein</v>
      </c>
      <c r="AB4" s="822" t="str">
        <f>Kinderzuschlag!H166</f>
        <v>nein</v>
      </c>
      <c r="AC4" s="823" t="str">
        <f>Kinderzuschlag!I166</f>
        <v>nein</v>
      </c>
      <c r="AD4" s="805"/>
      <c r="AE4" s="806" t="str">
        <f>ZuschussKV!A4</f>
        <v>Antragsteller:</v>
      </c>
      <c r="AF4" s="1983">
        <f>ZuschussKV!B4</f>
        <v>0</v>
      </c>
      <c r="AG4" s="1983"/>
      <c r="AH4" s="807" t="str">
        <f>ZuschussKV!D4</f>
        <v>gültig ab:</v>
      </c>
      <c r="AI4" s="824">
        <f>ZuschussKV!E4</f>
        <v>44774</v>
      </c>
      <c r="AJ4" s="809" t="str">
        <f>ZuschussKV!F4</f>
        <v>bis</v>
      </c>
      <c r="AK4" s="825">
        <f>ZuschussKV!G4</f>
        <v>44804</v>
      </c>
    </row>
    <row r="5" spans="1:37" ht="23.1" customHeight="1">
      <c r="A5" s="1977" t="s">
        <v>127</v>
      </c>
      <c r="B5" s="1977"/>
      <c r="C5" s="1977"/>
      <c r="D5" s="1977"/>
      <c r="E5" s="1977"/>
      <c r="F5" s="1977"/>
      <c r="G5" s="1977"/>
      <c r="H5" s="1977"/>
      <c r="I5" s="1977"/>
      <c r="J5" s="805"/>
      <c r="K5" s="826">
        <f>Wohngeld!A5</f>
        <v>0</v>
      </c>
      <c r="L5" s="827" t="str">
        <f>Wohngeld!B5</f>
        <v>BG insgesamt</v>
      </c>
      <c r="M5" s="827" t="str">
        <f>Wohngeld!C5</f>
        <v>Antragsteller</v>
      </c>
      <c r="N5" s="827" t="str">
        <f>Wohngeld!D5</f>
        <v>Partner(in)</v>
      </c>
      <c r="O5" s="827" t="str">
        <f>Wohngeld!E5</f>
        <v>Kind 1</v>
      </c>
      <c r="P5" s="827" t="str">
        <f>Wohngeld!F5</f>
        <v>Kind 2</v>
      </c>
      <c r="Q5" s="827" t="str">
        <f>Wohngeld!G5</f>
        <v>Kind 3</v>
      </c>
      <c r="R5" s="827" t="str">
        <f>Wohngeld!H5</f>
        <v>Kind 4</v>
      </c>
      <c r="S5" s="828" t="str">
        <f>Wohngeld!I5</f>
        <v>Kind 5</v>
      </c>
      <c r="T5" s="805"/>
      <c r="U5" s="820" t="str">
        <f>Kinderzuschlag!A167</f>
        <v>Mindesteinkommensgrenze der Eltern</v>
      </c>
      <c r="V5" s="829">
        <f>Kinderzuschlag!B167</f>
        <v>900</v>
      </c>
      <c r="W5" s="830">
        <f>Kinderzuschlag!C167</f>
        <v>0</v>
      </c>
      <c r="X5" s="830">
        <f>Kinderzuschlag!D167</f>
        <v>0</v>
      </c>
      <c r="Y5" s="831">
        <f>Kinderzuschlag!E167</f>
        <v>0</v>
      </c>
      <c r="Z5" s="831">
        <f>Kinderzuschlag!F167</f>
        <v>0</v>
      </c>
      <c r="AA5" s="831">
        <f>Kinderzuschlag!G167</f>
        <v>0</v>
      </c>
      <c r="AB5" s="831">
        <f>Kinderzuschlag!H167</f>
        <v>0</v>
      </c>
      <c r="AC5" s="832">
        <f>Kinderzuschlag!I167</f>
        <v>0</v>
      </c>
      <c r="AD5" s="805"/>
      <c r="AE5" s="833">
        <f>ZuschussKV!A5</f>
        <v>0</v>
      </c>
      <c r="AF5" s="834">
        <f>ZuschussKV!B5</f>
        <v>0</v>
      </c>
      <c r="AG5" s="834">
        <f>ZuschussKV!C5</f>
        <v>0</v>
      </c>
      <c r="AH5" s="834">
        <f>ZuschussKV!D5</f>
        <v>0</v>
      </c>
      <c r="AI5" s="834">
        <f>ZuschussKV!E5</f>
        <v>0</v>
      </c>
      <c r="AJ5" s="834">
        <f>ZuschussKV!F5</f>
        <v>0</v>
      </c>
      <c r="AK5" s="835">
        <f>ZuschussKV!G5</f>
        <v>0</v>
      </c>
    </row>
    <row r="6" spans="1:37" ht="20.25" customHeight="1">
      <c r="A6" s="836"/>
      <c r="B6" s="837" t="s">
        <v>246</v>
      </c>
      <c r="C6" s="837" t="str">
        <f>Zusatzeingaben!C4</f>
        <v>Antragsteller</v>
      </c>
      <c r="D6" s="837" t="str">
        <f>Zusatzeingaben!D4</f>
        <v>Partner(in)</v>
      </c>
      <c r="E6" s="837" t="str">
        <f>Zusatzeingaben!E4</f>
        <v>Kind 1</v>
      </c>
      <c r="F6" s="837" t="str">
        <f>Zusatzeingaben!F4</f>
        <v>Kind 2</v>
      </c>
      <c r="G6" s="837" t="str">
        <f>Zusatzeingaben!G4</f>
        <v>Kind 3</v>
      </c>
      <c r="H6" s="837" t="str">
        <f>Zusatzeingaben!H4</f>
        <v>Kind 4</v>
      </c>
      <c r="I6" s="838" t="str">
        <f>Zusatzeingaben!I4</f>
        <v>Kind 5</v>
      </c>
      <c r="J6" s="805"/>
      <c r="K6" s="839" t="str">
        <f>Wohngeld!A6</f>
        <v>BG besteht aus</v>
      </c>
      <c r="L6" s="840">
        <f>Wohngeld!B6</f>
        <v>1</v>
      </c>
      <c r="M6" s="841">
        <f>Wohngeld!C6</f>
        <v>0</v>
      </c>
      <c r="N6" s="841">
        <f>Wohngeld!D6</f>
        <v>0</v>
      </c>
      <c r="O6" s="841">
        <f>Wohngeld!E6</f>
        <v>0</v>
      </c>
      <c r="P6" s="841">
        <f>Wohngeld!F6</f>
        <v>0</v>
      </c>
      <c r="Q6" s="841">
        <f>Wohngeld!G6</f>
        <v>0</v>
      </c>
      <c r="R6" s="841">
        <f>Wohngeld!H6</f>
        <v>0</v>
      </c>
      <c r="S6" s="842">
        <f>Wohngeld!I6</f>
        <v>0</v>
      </c>
      <c r="T6" s="805"/>
      <c r="U6" s="843" t="str">
        <f>Kinderzuschlag!A168</f>
        <v>tatsächliches Einkommen der Eltern</v>
      </c>
      <c r="V6" s="844">
        <f>Kinderzuschlag!B168</f>
        <v>0</v>
      </c>
      <c r="W6" s="844">
        <f>Kinderzuschlag!C168</f>
        <v>0</v>
      </c>
      <c r="X6" s="844">
        <f>Kinderzuschlag!D168</f>
        <v>0</v>
      </c>
      <c r="Y6" s="831">
        <f>Kinderzuschlag!E168</f>
        <v>0</v>
      </c>
      <c r="Z6" s="831">
        <f>Kinderzuschlag!F168</f>
        <v>0</v>
      </c>
      <c r="AA6" s="831">
        <f>Kinderzuschlag!G168</f>
        <v>0</v>
      </c>
      <c r="AB6" s="831">
        <f>Kinderzuschlag!H168</f>
        <v>0</v>
      </c>
      <c r="AC6" s="832">
        <f>Kinderzuschlag!I168</f>
        <v>0</v>
      </c>
      <c r="AD6" s="805"/>
      <c r="AE6" s="845">
        <f>ZuschussKV!A6</f>
        <v>0</v>
      </c>
      <c r="AF6" s="846">
        <f>ZuschussKV!B6</f>
        <v>0</v>
      </c>
      <c r="AG6" s="847" t="str">
        <f>ZuschussKV!C6</f>
        <v>Antragsteller</v>
      </c>
      <c r="AH6" s="847" t="str">
        <f>ZuschussKV!D6</f>
        <v>Partner(in)</v>
      </c>
      <c r="AI6" s="847" t="str">
        <f>ZuschussKV!E6</f>
        <v>Kind 1</v>
      </c>
      <c r="AJ6" s="847" t="str">
        <f>ZuschussKV!F6</f>
        <v>Kind 2</v>
      </c>
      <c r="AK6" s="848" t="str">
        <f>ZuschussKV!G6</f>
        <v>Kind 3</v>
      </c>
    </row>
    <row r="7" spans="1:37" ht="20.25">
      <c r="A7" s="849" t="s">
        <v>2159</v>
      </c>
      <c r="B7" s="850">
        <f>Zusatzeingaben!B6</f>
        <v>1</v>
      </c>
      <c r="C7" s="851">
        <f>Zusatzeingaben!C6</f>
        <v>0</v>
      </c>
      <c r="D7" s="852">
        <f>Zusatzeingaben!D6</f>
        <v>0</v>
      </c>
      <c r="E7" s="852">
        <f>Zusatzeingaben!E6</f>
        <v>0</v>
      </c>
      <c r="F7" s="852">
        <f>Zusatzeingaben!F6</f>
        <v>0</v>
      </c>
      <c r="G7" s="852">
        <f>Zusatzeingaben!G6</f>
        <v>0</v>
      </c>
      <c r="H7" s="852">
        <f>Zusatzeingaben!H6</f>
        <v>0</v>
      </c>
      <c r="I7" s="853">
        <f>Zusatzeingaben!I6</f>
        <v>0</v>
      </c>
      <c r="J7" s="805"/>
      <c r="K7" s="854" t="str">
        <f>Wohngeld!A7</f>
        <v>Alter</v>
      </c>
      <c r="L7" s="855">
        <f>Wohngeld!B7</f>
        <v>0</v>
      </c>
      <c r="M7" s="856">
        <f>Wohngeld!C7</f>
        <v>0</v>
      </c>
      <c r="N7" s="856">
        <f>Wohngeld!D7</f>
        <v>0</v>
      </c>
      <c r="O7" s="856">
        <f>Wohngeld!E7</f>
        <v>0</v>
      </c>
      <c r="P7" s="856">
        <f>Wohngeld!F7</f>
        <v>0</v>
      </c>
      <c r="Q7" s="856">
        <f>Wohngeld!G7</f>
        <v>0</v>
      </c>
      <c r="R7" s="856">
        <f>Wohngeld!H7</f>
        <v>0</v>
      </c>
      <c r="S7" s="857">
        <f>Wohngeld!I7</f>
        <v>0</v>
      </c>
      <c r="T7" s="805"/>
      <c r="U7" s="858" t="str">
        <f>Kinderzuschlag!A169</f>
        <v>ungeminderter Kinderzuschlag</v>
      </c>
      <c r="V7" s="859">
        <f>Kinderzuschlag!B169</f>
        <v>0</v>
      </c>
      <c r="W7" s="860">
        <f>Kinderzuschlag!C169</f>
        <v>0</v>
      </c>
      <c r="X7" s="861">
        <f>Kinderzuschlag!D169</f>
        <v>0</v>
      </c>
      <c r="Y7" s="860">
        <f>Kinderzuschlag!E169</f>
        <v>0</v>
      </c>
      <c r="Z7" s="860">
        <f>Kinderzuschlag!F169</f>
        <v>0</v>
      </c>
      <c r="AA7" s="860">
        <f>Kinderzuschlag!G169</f>
        <v>0</v>
      </c>
      <c r="AB7" s="860">
        <f>Kinderzuschlag!H169</f>
        <v>0</v>
      </c>
      <c r="AC7" s="862">
        <f>Kinderzuschlag!I169</f>
        <v>0</v>
      </c>
      <c r="AD7" s="805"/>
      <c r="AE7" s="863" t="str">
        <f>ZuschussKV!A7</f>
        <v>BG besteht aus</v>
      </c>
      <c r="AF7" s="864">
        <f>ZuschussKV!B7</f>
        <v>0</v>
      </c>
      <c r="AG7" s="841">
        <f>ZuschussKV!C7</f>
        <v>0</v>
      </c>
      <c r="AH7" s="841">
        <f>ZuschussKV!D7</f>
        <v>0</v>
      </c>
      <c r="AI7" s="841">
        <f>ZuschussKV!E7</f>
        <v>0</v>
      </c>
      <c r="AJ7" s="841">
        <f>ZuschussKV!F7</f>
        <v>0</v>
      </c>
      <c r="AK7" s="842">
        <f>ZuschussKV!G7</f>
        <v>0</v>
      </c>
    </row>
    <row r="8" spans="1:37" ht="17.25" customHeight="1">
      <c r="A8" s="849" t="s">
        <v>2160</v>
      </c>
      <c r="B8" s="865"/>
      <c r="C8" s="866" t="str">
        <f>Zusatzeingaben!E7</f>
        <v>nein</v>
      </c>
      <c r="D8" s="866" t="str">
        <f>Zusatzeingaben!E7</f>
        <v>nein</v>
      </c>
      <c r="E8" s="867"/>
      <c r="F8" s="867"/>
      <c r="G8" s="867"/>
      <c r="H8" s="867"/>
      <c r="I8" s="868"/>
      <c r="J8" s="805"/>
      <c r="K8" s="834">
        <f>Wohngeld!A8</f>
        <v>0</v>
      </c>
      <c r="L8" s="869">
        <f>Wohngeld!B8</f>
        <v>0</v>
      </c>
      <c r="M8" s="870">
        <f>Wohngeld!C8</f>
        <v>0</v>
      </c>
      <c r="N8" s="870">
        <f>Wohngeld!D8</f>
        <v>0</v>
      </c>
      <c r="O8" s="870">
        <f>Wohngeld!E8</f>
        <v>0</v>
      </c>
      <c r="P8" s="870">
        <f>Wohngeld!F8</f>
        <v>0</v>
      </c>
      <c r="Q8" s="870">
        <f>Wohngeld!G8</f>
        <v>0</v>
      </c>
      <c r="R8" s="870">
        <f>Wohngeld!H8</f>
        <v>0</v>
      </c>
      <c r="S8" s="870">
        <f>Wohngeld!I8</f>
        <v>0</v>
      </c>
      <c r="T8" s="805"/>
      <c r="U8" s="871" t="str">
        <f>Kinderzuschlag!A170</f>
        <v>zu berücksichtigendes Einkommen</v>
      </c>
      <c r="V8" s="872">
        <f>Kinderzuschlag!B170</f>
        <v>0</v>
      </c>
      <c r="W8" s="873">
        <f>Kinderzuschlag!C170</f>
        <v>0</v>
      </c>
      <c r="X8" s="874">
        <f>Kinderzuschlag!D170</f>
        <v>0</v>
      </c>
      <c r="Y8" s="875">
        <f>Kinderzuschlag!E170</f>
        <v>0</v>
      </c>
      <c r="Z8" s="875">
        <f>Kinderzuschlag!F170</f>
        <v>0</v>
      </c>
      <c r="AA8" s="875">
        <f>Kinderzuschlag!G170</f>
        <v>0</v>
      </c>
      <c r="AB8" s="875">
        <f>Kinderzuschlag!H170</f>
        <v>0</v>
      </c>
      <c r="AC8" s="876">
        <f>Kinderzuschlag!I170</f>
        <v>0</v>
      </c>
      <c r="AD8" s="805"/>
      <c r="AE8" s="877" t="str">
        <f>ZuschussKV!A8</f>
        <v>Alter</v>
      </c>
      <c r="AF8" s="878">
        <f>ZuschussKV!B8</f>
        <v>0</v>
      </c>
      <c r="AG8" s="879">
        <f>ZuschussKV!C8</f>
        <v>0</v>
      </c>
      <c r="AH8" s="879">
        <f>ZuschussKV!D8</f>
        <v>0</v>
      </c>
      <c r="AI8" s="879">
        <f>ZuschussKV!E8</f>
        <v>0</v>
      </c>
      <c r="AJ8" s="879">
        <f>ZuschussKV!F8</f>
        <v>0</v>
      </c>
      <c r="AK8" s="880">
        <f>ZuschussKV!G8</f>
        <v>0</v>
      </c>
    </row>
    <row r="9" spans="1:37" ht="23.25">
      <c r="A9" s="849" t="s">
        <v>2161</v>
      </c>
      <c r="B9" s="881"/>
      <c r="C9" s="882">
        <f>Zusatzeingaben!C22</f>
        <v>0</v>
      </c>
      <c r="D9" s="883">
        <f>Zusatzeingaben!D22</f>
        <v>0</v>
      </c>
      <c r="E9" s="883">
        <f>IF(Zusatzeingaben!E16=0,Zusatzeingaben!E16,Zusatzeingaben!E22)</f>
        <v>0</v>
      </c>
      <c r="F9" s="883">
        <f>IF(Zusatzeingaben!F16=0,Zusatzeingaben!F16,Zusatzeingaben!F22)</f>
        <v>0</v>
      </c>
      <c r="G9" s="883">
        <f>IF(Zusatzeingaben!G16=0,Zusatzeingaben!G16,Zusatzeingaben!G22)</f>
        <v>0</v>
      </c>
      <c r="H9" s="883">
        <f>IF(Zusatzeingaben!H16=0,Zusatzeingaben!H16,Zusatzeingaben!H22)</f>
        <v>0</v>
      </c>
      <c r="I9" s="884">
        <f>IF(Zusatzeingaben!I16=0,Zusatzeingaben!I16,Zusatzeingaben!I22)</f>
        <v>0</v>
      </c>
      <c r="J9" s="805"/>
      <c r="K9" s="1977" t="str">
        <f>Wohngeld!A9</f>
        <v>Miete</v>
      </c>
      <c r="L9" s="1977"/>
      <c r="M9" s="1977"/>
      <c r="N9" s="1977"/>
      <c r="O9" s="1977"/>
      <c r="P9" s="1977"/>
      <c r="Q9" s="1977"/>
      <c r="R9" s="1977"/>
      <c r="S9" s="1977"/>
      <c r="T9" s="805"/>
      <c r="U9" s="843" t="str">
        <f>Kinderzuschlag!A171</f>
        <v>des Kindes</v>
      </c>
      <c r="V9" s="885">
        <f>Kinderzuschlag!B171</f>
        <v>0</v>
      </c>
      <c r="W9" s="886">
        <f>Kinderzuschlag!C171</f>
        <v>0</v>
      </c>
      <c r="X9" s="887">
        <f>Kinderzuschlag!D171</f>
        <v>0</v>
      </c>
      <c r="Y9" s="844">
        <f>Kinderzuschlag!E171</f>
        <v>0</v>
      </c>
      <c r="Z9" s="844">
        <f>Kinderzuschlag!F171</f>
        <v>0</v>
      </c>
      <c r="AA9" s="844">
        <f>Kinderzuschlag!G171</f>
        <v>0</v>
      </c>
      <c r="AB9" s="844">
        <f>Kinderzuschlag!H171</f>
        <v>0</v>
      </c>
      <c r="AC9" s="888">
        <f>Kinderzuschlag!I171</f>
        <v>0</v>
      </c>
      <c r="AD9" s="805"/>
      <c r="AE9" s="863" t="str">
        <f>ZuschussKV!A9</f>
        <v>anspruchsberechtigt</v>
      </c>
      <c r="AF9" s="889">
        <f>ZuschussKV!B9</f>
        <v>0</v>
      </c>
      <c r="AG9" s="890" t="str">
        <f>ZuschussKV!C9</f>
        <v>ja</v>
      </c>
      <c r="AH9" s="879">
        <f>ZuschussKV!D9</f>
        <v>0</v>
      </c>
      <c r="AI9" s="879">
        <f>ZuschussKV!E9</f>
        <v>0</v>
      </c>
      <c r="AJ9" s="879">
        <f>ZuschussKV!F9</f>
        <v>0</v>
      </c>
      <c r="AK9" s="880">
        <f>ZuschussKV!G9</f>
        <v>0</v>
      </c>
    </row>
    <row r="10" spans="1:37" ht="20.25">
      <c r="A10" s="891" t="s">
        <v>2162</v>
      </c>
      <c r="B10" s="892"/>
      <c r="C10" s="893" t="str">
        <f>Zusatzeingaben!C35</f>
        <v>ja</v>
      </c>
      <c r="D10" s="894">
        <f>IF(Zusatzeingaben!D33&gt;0,Zusatzeingaben!D35,0)</f>
        <v>0</v>
      </c>
      <c r="E10" s="894">
        <f>IF(Zusatzeingaben!E33&gt;0,Zusatzeingaben!E35,0)</f>
        <v>0</v>
      </c>
      <c r="F10" s="894">
        <f>IF(Zusatzeingaben!F33&gt;0,Zusatzeingaben!F35,0)</f>
        <v>0</v>
      </c>
      <c r="G10" s="894">
        <f>IF(Zusatzeingaben!G33&gt;0,Zusatzeingaben!G35,0)</f>
        <v>0</v>
      </c>
      <c r="H10" s="894">
        <f>IF(Zusatzeingaben!H33&gt;0,Zusatzeingaben!H35,0)</f>
        <v>0</v>
      </c>
      <c r="I10" s="895">
        <f>IF(Zusatzeingaben!I33&gt;0,Zusatzeingaben!I35,0)</f>
        <v>0</v>
      </c>
      <c r="J10" s="805"/>
      <c r="K10" s="896" t="str">
        <f>Wohngeld!A10</f>
        <v>Mietenstufe</v>
      </c>
      <c r="L10" s="897" t="str">
        <f>Wohngeld!B10</f>
        <v>VI</v>
      </c>
      <c r="M10" s="898">
        <f>Wohngeld!C10</f>
        <v>0</v>
      </c>
      <c r="N10" s="898">
        <f>Wohngeld!D10</f>
        <v>0</v>
      </c>
      <c r="O10" s="898">
        <f>Wohngeld!E10</f>
        <v>0</v>
      </c>
      <c r="P10" s="899">
        <f>Wohngeld!F10</f>
        <v>0</v>
      </c>
      <c r="Q10" s="899">
        <f>Wohngeld!G10</f>
        <v>0</v>
      </c>
      <c r="R10" s="899">
        <f>Wohngeld!H10</f>
        <v>0</v>
      </c>
      <c r="S10" s="900">
        <f>Wohngeld!I10</f>
        <v>0</v>
      </c>
      <c r="T10" s="805"/>
      <c r="U10" s="843" t="str">
        <f>Kinderzuschlag!A172</f>
        <v>verbleibender Kinderzuschlag</v>
      </c>
      <c r="V10" s="829">
        <f>Kinderzuschlag!B172</f>
        <v>0</v>
      </c>
      <c r="W10" s="831">
        <f>Kinderzuschlag!C172</f>
        <v>0</v>
      </c>
      <c r="X10" s="831">
        <f>Kinderzuschlag!D172</f>
        <v>0</v>
      </c>
      <c r="Y10" s="901">
        <f>Kinderzuschlag!E172</f>
        <v>0</v>
      </c>
      <c r="Z10" s="901">
        <f>Kinderzuschlag!F172</f>
        <v>0</v>
      </c>
      <c r="AA10" s="901">
        <f>Kinderzuschlag!G172</f>
        <v>0</v>
      </c>
      <c r="AB10" s="901">
        <f>Kinderzuschlag!H172</f>
        <v>0</v>
      </c>
      <c r="AC10" s="902">
        <f>Kinderzuschlag!I172</f>
        <v>0</v>
      </c>
      <c r="AD10" s="805"/>
      <c r="AE10" s="537" t="str">
        <f>ZuschussKV!A10</f>
        <v>erwerbsfähig</v>
      </c>
      <c r="AF10" s="348">
        <f>ZuschussKV!B10</f>
        <v>0</v>
      </c>
      <c r="AG10" s="903" t="str">
        <f>ZuschussKV!C10</f>
        <v>ja</v>
      </c>
      <c r="AH10" s="856" t="str">
        <f>ZuschussKV!D10</f>
        <v>ja</v>
      </c>
      <c r="AI10" s="856" t="str">
        <f>ZuschussKV!E10</f>
        <v>ja</v>
      </c>
      <c r="AJ10" s="856" t="str">
        <f>ZuschussKV!F10</f>
        <v>ja</v>
      </c>
      <c r="AK10" s="857" t="str">
        <f>ZuschussKV!G10</f>
        <v>ja</v>
      </c>
    </row>
    <row r="11" spans="1:37" ht="20.25">
      <c r="A11" s="904" t="s">
        <v>2163</v>
      </c>
      <c r="B11" s="905">
        <f>SUM(C11:I11)</f>
        <v>449</v>
      </c>
      <c r="C11" s="906">
        <f>Zusatzeingaben!C33</f>
        <v>449</v>
      </c>
      <c r="D11" s="907">
        <f>Zusatzeingaben!D33</f>
        <v>0</v>
      </c>
      <c r="E11" s="907">
        <f>Zusatzeingaben!E33</f>
        <v>0</v>
      </c>
      <c r="F11" s="907">
        <f>Zusatzeingaben!F33</f>
        <v>0</v>
      </c>
      <c r="G11" s="907">
        <f>Zusatzeingaben!G33</f>
        <v>0</v>
      </c>
      <c r="H11" s="907">
        <f>Zusatzeingaben!H33</f>
        <v>0</v>
      </c>
      <c r="I11" s="908">
        <f>Zusatzeingaben!I33</f>
        <v>0</v>
      </c>
      <c r="J11" s="805"/>
      <c r="K11" s="896" t="str">
        <f>Wohngeld!A11</f>
        <v>Wohnverhältnis</v>
      </c>
      <c r="L11" s="909" t="str">
        <f>Wohngeld!B11</f>
        <v>Miete</v>
      </c>
      <c r="M11" s="898">
        <f>Wohngeld!C11</f>
        <v>0</v>
      </c>
      <c r="N11" s="898">
        <f>Wohngeld!D11</f>
        <v>0</v>
      </c>
      <c r="O11" s="898">
        <f>Wohngeld!E11</f>
        <v>0</v>
      </c>
      <c r="P11" s="899">
        <f>Wohngeld!F11</f>
        <v>0</v>
      </c>
      <c r="Q11" s="899">
        <f>Wohngeld!G11</f>
        <v>0</v>
      </c>
      <c r="R11" s="899">
        <f>Wohngeld!H11</f>
        <v>0</v>
      </c>
      <c r="S11" s="900">
        <f>Wohngeld!I11</f>
        <v>0</v>
      </c>
      <c r="T11" s="805"/>
      <c r="U11" s="820" t="str">
        <f>Kinderzuschlag!A173</f>
        <v>Einkommen der Eltern</v>
      </c>
      <c r="V11" s="901">
        <f>Kinderzuschlag!B173</f>
        <v>0</v>
      </c>
      <c r="W11" s="831">
        <f>Kinderzuschlag!C173</f>
        <v>0</v>
      </c>
      <c r="X11" s="831">
        <f>Kinderzuschlag!D173</f>
        <v>0</v>
      </c>
      <c r="Y11" s="831">
        <f>Kinderzuschlag!E173</f>
        <v>0</v>
      </c>
      <c r="Z11" s="831">
        <f>Kinderzuschlag!F173</f>
        <v>0</v>
      </c>
      <c r="AA11" s="831">
        <f>Kinderzuschlag!G173</f>
        <v>0</v>
      </c>
      <c r="AB11" s="831">
        <f>Kinderzuschlag!H173</f>
        <v>0</v>
      </c>
      <c r="AC11" s="832">
        <f>Kinderzuschlag!I173</f>
        <v>0</v>
      </c>
      <c r="AD11" s="805"/>
      <c r="AE11" s="400">
        <f>ZuschussKV!A11</f>
        <v>0</v>
      </c>
      <c r="AF11" s="393">
        <f>ZuschussKV!B11</f>
        <v>0</v>
      </c>
      <c r="AG11" s="910">
        <f>ZuschussKV!C11</f>
        <v>0</v>
      </c>
      <c r="AH11" s="910">
        <f>ZuschussKV!D11</f>
        <v>0</v>
      </c>
      <c r="AI11" s="910">
        <f>ZuschussKV!E11</f>
        <v>0</v>
      </c>
      <c r="AJ11" s="910">
        <f>ZuschussKV!F11</f>
        <v>0</v>
      </c>
      <c r="AK11" s="911">
        <f>ZuschussKV!G11</f>
        <v>0</v>
      </c>
    </row>
    <row r="12" spans="1:37" ht="20.25">
      <c r="A12" s="912" t="s">
        <v>2164</v>
      </c>
      <c r="B12" s="913"/>
      <c r="C12" s="914"/>
      <c r="D12" s="915"/>
      <c r="E12" s="915"/>
      <c r="F12" s="915"/>
      <c r="G12" s="915"/>
      <c r="H12" s="915"/>
      <c r="I12" s="916"/>
      <c r="J12" s="805"/>
      <c r="K12" s="917" t="str">
        <f>Wohngeld!A12</f>
        <v>tatsächliche monatliche Bruttokaltmiete</v>
      </c>
      <c r="L12" s="918">
        <f>Wohngeld!B12</f>
        <v>0</v>
      </c>
      <c r="M12" s="637">
        <f>Wohngeld!C12</f>
        <v>0</v>
      </c>
      <c r="N12" s="637">
        <f>Wohngeld!D12</f>
        <v>0</v>
      </c>
      <c r="O12" s="637">
        <f>Wohngeld!E12</f>
        <v>0</v>
      </c>
      <c r="P12" s="637">
        <f>Wohngeld!F12</f>
        <v>0</v>
      </c>
      <c r="Q12" s="637">
        <f>Wohngeld!G12</f>
        <v>0</v>
      </c>
      <c r="R12" s="637">
        <f>Wohngeld!H12</f>
        <v>0</v>
      </c>
      <c r="S12" s="638">
        <f>Wohngeld!I12</f>
        <v>0</v>
      </c>
      <c r="T12" s="805"/>
      <c r="U12" s="820" t="str">
        <f>Kinderzuschlag!A174</f>
        <v>Erwerbseinkommen der Eltern</v>
      </c>
      <c r="V12" s="829">
        <f>Kinderzuschlag!B174</f>
        <v>0</v>
      </c>
      <c r="W12" s="919">
        <f>Kinderzuschlag!C174</f>
        <v>0</v>
      </c>
      <c r="X12" s="919">
        <f>Kinderzuschlag!D174</f>
        <v>0</v>
      </c>
      <c r="Y12" s="919">
        <f>Kinderzuschlag!E174</f>
        <v>0</v>
      </c>
      <c r="Z12" s="919">
        <f>Kinderzuschlag!F174</f>
        <v>0</v>
      </c>
      <c r="AA12" s="831">
        <f>Kinderzuschlag!G174</f>
        <v>0</v>
      </c>
      <c r="AB12" s="831">
        <f>Kinderzuschlag!H174</f>
        <v>0</v>
      </c>
      <c r="AC12" s="832">
        <f>Kinderzuschlag!I174</f>
        <v>0</v>
      </c>
      <c r="AD12" s="805"/>
      <c r="AE12" s="920" t="str">
        <f>ZuschussKV!A12</f>
        <v>Kranken- und Pflegeversicherung (§ 26)</v>
      </c>
      <c r="AF12" s="921">
        <f>ZuschussKV!B12</f>
        <v>0</v>
      </c>
      <c r="AG12" s="355">
        <f>ZuschussKV!C12</f>
        <v>0</v>
      </c>
      <c r="AH12" s="355">
        <f>ZuschussKV!D12</f>
        <v>0</v>
      </c>
      <c r="AI12" s="355">
        <f>ZuschussKV!E12</f>
        <v>0</v>
      </c>
      <c r="AJ12" s="355">
        <f>ZuschussKV!F12</f>
        <v>0</v>
      </c>
      <c r="AK12" s="485">
        <f>ZuschussKV!G12</f>
        <v>0</v>
      </c>
    </row>
    <row r="13" spans="1:37" ht="20.25">
      <c r="A13" s="922">
        <f>IF(B13&gt;0,"Schwangerschaft",0)</f>
        <v>0</v>
      </c>
      <c r="B13" s="923">
        <f>SUM(C13:I13)</f>
        <v>0</v>
      </c>
      <c r="C13" s="913">
        <f>IF(OR(Zusatzeingaben!C37="",C10="nur Mehrbedarf"),0,Zusatzeingaben!C45)</f>
        <v>0</v>
      </c>
      <c r="D13" s="924">
        <f>IF(OR(Zusatzeingaben!D37="",D10="nur Mehrbedarf"),0,Zusatzeingaben!D45)</f>
        <v>0</v>
      </c>
      <c r="E13" s="924">
        <f>IF(Zusatzeingaben!E37="",0,Zusatzeingaben!E45)</f>
        <v>0</v>
      </c>
      <c r="F13" s="924"/>
      <c r="G13" s="924"/>
      <c r="H13" s="924"/>
      <c r="I13" s="925"/>
      <c r="J13" s="805"/>
      <c r="K13" s="926">
        <f>Wohngeld!A13</f>
        <v>0</v>
      </c>
      <c r="L13" s="918">
        <f>Wohngeld!B13</f>
        <v>0</v>
      </c>
      <c r="M13" s="637">
        <f>Wohngeld!C13</f>
        <v>0</v>
      </c>
      <c r="N13" s="637">
        <f>Wohngeld!D13</f>
        <v>0</v>
      </c>
      <c r="O13" s="637">
        <f>Wohngeld!E13</f>
        <v>0</v>
      </c>
      <c r="P13" s="637">
        <f>Wohngeld!F13</f>
        <v>0</v>
      </c>
      <c r="Q13" s="637">
        <f>Wohngeld!G13</f>
        <v>0</v>
      </c>
      <c r="R13" s="637">
        <f>Wohngeld!H13</f>
        <v>0</v>
      </c>
      <c r="S13" s="638">
        <f>Wohngeld!I13</f>
        <v>0</v>
      </c>
      <c r="T13" s="805"/>
      <c r="U13" s="820" t="str">
        <f>Kinderzuschlag!A175</f>
        <v>Sonstiges Einkommen der Eltern</v>
      </c>
      <c r="V13" s="829">
        <f>Kinderzuschlag!B175</f>
        <v>0</v>
      </c>
      <c r="W13" s="831">
        <f>Kinderzuschlag!C175</f>
        <v>0</v>
      </c>
      <c r="X13" s="831">
        <f>Kinderzuschlag!D175</f>
        <v>0</v>
      </c>
      <c r="Y13" s="831">
        <f>Kinderzuschlag!E175</f>
        <v>0</v>
      </c>
      <c r="Z13" s="831">
        <f>Kinderzuschlag!F175</f>
        <v>0</v>
      </c>
      <c r="AA13" s="831">
        <f>Kinderzuschlag!G175</f>
        <v>0</v>
      </c>
      <c r="AB13" s="831">
        <f>Kinderzuschlag!H175</f>
        <v>0</v>
      </c>
      <c r="AC13" s="832">
        <f>Kinderzuschlag!I175</f>
        <v>0</v>
      </c>
      <c r="AD13" s="805"/>
      <c r="AE13" s="927" t="str">
        <f>ZuschussKV!A13</f>
        <v>Private Krankenversicherung</v>
      </c>
      <c r="AF13" s="506">
        <f>ZuschussKV!B13</f>
        <v>0</v>
      </c>
      <c r="AG13" s="928">
        <f>ZuschussKV!C13</f>
        <v>0</v>
      </c>
      <c r="AH13" s="928">
        <f>ZuschussKV!D13</f>
        <v>0</v>
      </c>
      <c r="AI13" s="928">
        <f>ZuschussKV!E13</f>
        <v>0</v>
      </c>
      <c r="AJ13" s="928">
        <f>ZuschussKV!F13</f>
        <v>0</v>
      </c>
      <c r="AK13" s="929">
        <f>ZuschussKV!G13</f>
        <v>0</v>
      </c>
    </row>
    <row r="14" spans="1:37" ht="20.25">
      <c r="A14" s="922">
        <f>IF(B14&gt;0,"Alleinerziehende",0)</f>
        <v>0</v>
      </c>
      <c r="B14" s="923">
        <f>C14</f>
        <v>0</v>
      </c>
      <c r="C14" s="913">
        <f>IF(C10="nur Mehrbedarf",0,Zusatzeingaben!B46)</f>
        <v>0</v>
      </c>
      <c r="D14" s="924"/>
      <c r="E14" s="924"/>
      <c r="F14" s="924"/>
      <c r="G14" s="924"/>
      <c r="H14" s="924"/>
      <c r="I14" s="925"/>
      <c r="J14" s="805"/>
      <c r="K14" s="930">
        <f>Wohngeld!A14</f>
        <v>0</v>
      </c>
      <c r="L14" s="918">
        <f>Wohngeld!B14</f>
        <v>0</v>
      </c>
      <c r="M14" s="1984">
        <f>Wohngeld!C14</f>
        <v>0</v>
      </c>
      <c r="N14" s="1984"/>
      <c r="O14" s="637">
        <f>Wohngeld!E14</f>
        <v>0</v>
      </c>
      <c r="P14" s="637">
        <f>Wohngeld!F14</f>
        <v>0</v>
      </c>
      <c r="Q14" s="637">
        <f>Wohngeld!G14</f>
        <v>0</v>
      </c>
      <c r="R14" s="637">
        <f>Wohngeld!H14</f>
        <v>0</v>
      </c>
      <c r="S14" s="638">
        <f>Wohngeld!I14</f>
        <v>0</v>
      </c>
      <c r="T14" s="805"/>
      <c r="U14" s="931" t="str">
        <f>Kinderzuschlag!A176</f>
        <v>Bemessungsgrenze der Eltern</v>
      </c>
      <c r="V14" s="932">
        <f>Kinderzuschlag!B176</f>
        <v>0</v>
      </c>
      <c r="W14" s="831">
        <f>Kinderzuschlag!C176</f>
        <v>0</v>
      </c>
      <c r="X14" s="831">
        <f>Kinderzuschlag!D176</f>
        <v>0</v>
      </c>
      <c r="Y14" s="831">
        <f>Kinderzuschlag!E176</f>
        <v>0</v>
      </c>
      <c r="Z14" s="831">
        <f>Kinderzuschlag!F176</f>
        <v>0</v>
      </c>
      <c r="AA14" s="831">
        <f>Kinderzuschlag!G176</f>
        <v>0</v>
      </c>
      <c r="AB14" s="831">
        <f>Kinderzuschlag!H176</f>
        <v>0</v>
      </c>
      <c r="AC14" s="832">
        <f>Kinderzuschlag!I176</f>
        <v>0</v>
      </c>
      <c r="AD14" s="805"/>
      <c r="AE14" s="933" t="str">
        <f>ZuschussKV!A14</f>
        <v>Beitrag im (fiktiven) Basistarif</v>
      </c>
      <c r="AF14" s="934">
        <f>ZuschussKV!B14</f>
        <v>0</v>
      </c>
      <c r="AG14" s="457">
        <f>ZuschussKV!C14</f>
        <v>0</v>
      </c>
      <c r="AH14" s="935">
        <f>ZuschussKV!D14</f>
        <v>0</v>
      </c>
      <c r="AI14" s="457">
        <f>ZuschussKV!E14</f>
        <v>0</v>
      </c>
      <c r="AJ14" s="457">
        <f>ZuschussKV!F14</f>
        <v>0</v>
      </c>
      <c r="AK14" s="529">
        <f>ZuschussKV!G14</f>
        <v>0</v>
      </c>
    </row>
    <row r="15" spans="1:37" ht="20.25">
      <c r="A15" s="922">
        <f>IF(B15&gt;0,"behinderter Mensch, Teilhabe",0)</f>
        <v>0</v>
      </c>
      <c r="B15" s="923">
        <f>SUM(C15:I15)</f>
        <v>0</v>
      </c>
      <c r="C15" s="913">
        <f>IF(Zusatzeingaben!C34="ja",Zusatzeingaben!C92,0)</f>
        <v>0</v>
      </c>
      <c r="D15" s="924">
        <f>IF(Zusatzeingaben!D34="ja",Zusatzeingaben!D92,0)</f>
        <v>0</v>
      </c>
      <c r="E15" s="924">
        <f>IF(Zusatzeingaben!E34="ja",Zusatzeingaben!E92,0)</f>
        <v>0</v>
      </c>
      <c r="F15" s="924">
        <f>IF(Zusatzeingaben!F34="ja",Zusatzeingaben!F92,0)</f>
        <v>0</v>
      </c>
      <c r="G15" s="924">
        <f>IF(Zusatzeingaben!G34="ja",Zusatzeingaben!G92,0)</f>
        <v>0</v>
      </c>
      <c r="H15" s="924">
        <f>IF(Zusatzeingaben!H34="ja",Zusatzeingaben!H92,0)</f>
        <v>0</v>
      </c>
      <c r="I15" s="925">
        <f>IF(Zusatzeingaben!I34="ja",Zusatzeingaben!I92,0)</f>
        <v>0</v>
      </c>
      <c r="J15" s="805"/>
      <c r="K15" s="930">
        <f>Wohngeld!A15</f>
        <v>0</v>
      </c>
      <c r="L15" s="918">
        <f>Wohngeld!B15</f>
        <v>0</v>
      </c>
      <c r="M15" s="637">
        <f>Wohngeld!C15</f>
        <v>0</v>
      </c>
      <c r="N15" s="637">
        <f>Wohngeld!D15</f>
        <v>0</v>
      </c>
      <c r="O15" s="637">
        <f>Wohngeld!E15</f>
        <v>0</v>
      </c>
      <c r="P15" s="637">
        <f>Wohngeld!F15</f>
        <v>0</v>
      </c>
      <c r="Q15" s="637">
        <f>Wohngeld!G15</f>
        <v>0</v>
      </c>
      <c r="R15" s="637">
        <f>Wohngeld!H15</f>
        <v>0</v>
      </c>
      <c r="S15" s="638">
        <f>Wohngeld!I15</f>
        <v>0</v>
      </c>
      <c r="T15" s="805"/>
      <c r="U15" s="936" t="str">
        <f>Kinderzuschlag!A177</f>
        <v>Regelbedarfe</v>
      </c>
      <c r="V15" s="937">
        <f>Kinderzuschlag!B177</f>
        <v>449</v>
      </c>
      <c r="W15" s="938">
        <f>Kinderzuschlag!C177</f>
        <v>449</v>
      </c>
      <c r="X15" s="938">
        <f>Kinderzuschlag!D177</f>
        <v>0</v>
      </c>
      <c r="Y15" s="831">
        <f>Kinderzuschlag!E177</f>
        <v>0</v>
      </c>
      <c r="Z15" s="831">
        <f>Kinderzuschlag!F177</f>
        <v>0</v>
      </c>
      <c r="AA15" s="831">
        <f>Kinderzuschlag!G177</f>
        <v>0</v>
      </c>
      <c r="AB15" s="831">
        <f>Kinderzuschlag!H177</f>
        <v>0</v>
      </c>
      <c r="AC15" s="832">
        <f>Kinderzuschlag!I177</f>
        <v>0</v>
      </c>
      <c r="AD15" s="805"/>
      <c r="AE15" s="939" t="str">
        <f>ZuschussKV!A15</f>
        <v>Beitrag in einem anderen Tarif</v>
      </c>
      <c r="AF15" s="940">
        <f>ZuschussKV!B15</f>
        <v>0</v>
      </c>
      <c r="AG15" s="457">
        <f>ZuschussKV!C15</f>
        <v>0</v>
      </c>
      <c r="AH15" s="457">
        <f>ZuschussKV!D15</f>
        <v>0</v>
      </c>
      <c r="AI15" s="457">
        <f>ZuschussKV!E15</f>
        <v>0</v>
      </c>
      <c r="AJ15" s="457">
        <f>ZuschussKV!F15</f>
        <v>0</v>
      </c>
      <c r="AK15" s="529">
        <f>ZuschussKV!G15</f>
        <v>0</v>
      </c>
    </row>
    <row r="16" spans="1:37" ht="20.25">
      <c r="A16" s="922">
        <f>IF(B16&gt;0,"kostenaufwändige Ernährung",0)</f>
        <v>0</v>
      </c>
      <c r="B16" s="923">
        <f>SUM(C16:I16)</f>
        <v>0</v>
      </c>
      <c r="C16" s="913">
        <f>IF(C10="nur Mehrbedarf",0,Zusatzeingaben!C93)</f>
        <v>0</v>
      </c>
      <c r="D16" s="924">
        <f>IF(D10="nur Mehrbedarf",0,Zusatzeingaben!D93)</f>
        <v>0</v>
      </c>
      <c r="E16" s="924">
        <f>Zusatzeingaben!E93</f>
        <v>0</v>
      </c>
      <c r="F16" s="924">
        <f>Zusatzeingaben!F93</f>
        <v>0</v>
      </c>
      <c r="G16" s="924">
        <f>Zusatzeingaben!G93</f>
        <v>0</v>
      </c>
      <c r="H16" s="924">
        <f>Zusatzeingaben!H93</f>
        <v>0</v>
      </c>
      <c r="I16" s="925">
        <f>Zusatzeingaben!I93</f>
        <v>0</v>
      </c>
      <c r="J16" s="805"/>
      <c r="K16" s="930">
        <f>Wohngeld!A16</f>
        <v>0</v>
      </c>
      <c r="L16" s="918">
        <f>Wohngeld!B16</f>
        <v>0</v>
      </c>
      <c r="M16" s="637">
        <f>Wohngeld!C16</f>
        <v>0</v>
      </c>
      <c r="N16" s="637">
        <f>Wohngeld!D16</f>
        <v>0</v>
      </c>
      <c r="O16" s="637">
        <f>Wohngeld!E16</f>
        <v>0</v>
      </c>
      <c r="P16" s="637">
        <f>Wohngeld!F16</f>
        <v>0</v>
      </c>
      <c r="Q16" s="637">
        <f>Wohngeld!G16</f>
        <v>0</v>
      </c>
      <c r="R16" s="637">
        <f>Wohngeld!H16</f>
        <v>0</v>
      </c>
      <c r="S16" s="638">
        <f>Wohngeld!I16</f>
        <v>0</v>
      </c>
      <c r="T16" s="805"/>
      <c r="U16" s="936" t="str">
        <f>Kinderzuschlag!A178</f>
        <v>Mehrbedarfe</v>
      </c>
      <c r="V16" s="937">
        <f>Kinderzuschlag!B178</f>
        <v>0</v>
      </c>
      <c r="W16" s="941">
        <f>Kinderzuschlag!C178</f>
        <v>0</v>
      </c>
      <c r="X16" s="941">
        <f>Kinderzuschlag!D178</f>
        <v>0</v>
      </c>
      <c r="Y16" s="831">
        <f>Kinderzuschlag!E178</f>
        <v>0</v>
      </c>
      <c r="Z16" s="831">
        <f>Kinderzuschlag!F178</f>
        <v>0</v>
      </c>
      <c r="AA16" s="831">
        <f>Kinderzuschlag!G178</f>
        <v>0</v>
      </c>
      <c r="AB16" s="831">
        <f>Kinderzuschlag!H178</f>
        <v>0</v>
      </c>
      <c r="AC16" s="832">
        <f>Kinderzuschlag!I178</f>
        <v>0</v>
      </c>
      <c r="AD16" s="805"/>
      <c r="AE16" s="939">
        <f>ZuschussKV!A16</f>
        <v>0</v>
      </c>
      <c r="AF16" s="940">
        <f>ZuschussKV!B16</f>
        <v>0</v>
      </c>
      <c r="AG16" s="942">
        <f>ZuschussKV!C16</f>
        <v>0</v>
      </c>
      <c r="AH16" s="942">
        <f>ZuschussKV!D16</f>
        <v>0</v>
      </c>
      <c r="AI16" s="942">
        <f>ZuschussKV!E16</f>
        <v>0</v>
      </c>
      <c r="AJ16" s="942">
        <f>ZuschussKV!F16</f>
        <v>0</v>
      </c>
      <c r="AK16" s="943">
        <f>ZuschussKV!G16</f>
        <v>0</v>
      </c>
    </row>
    <row r="17" spans="1:37" ht="20.25">
      <c r="A17" s="922">
        <f>IF(B17&gt;0,"unabweisbarer, lfd., besond. Bedarf",0)</f>
        <v>0</v>
      </c>
      <c r="B17" s="923">
        <f>SUM(C17:I17)</f>
        <v>0</v>
      </c>
      <c r="C17" s="913">
        <f>IF(C10="nur Mehrbedarf",0,Zusatzeingaben!C94)</f>
        <v>0</v>
      </c>
      <c r="D17" s="924">
        <f>IF(D10="nur Mehrbedarf",0,Zusatzeingaben!D94)</f>
        <v>0</v>
      </c>
      <c r="E17" s="924">
        <f>Zusatzeingaben!E94</f>
        <v>0</v>
      </c>
      <c r="F17" s="924">
        <f>Zusatzeingaben!F94</f>
        <v>0</v>
      </c>
      <c r="G17" s="924">
        <f>Zusatzeingaben!G94</f>
        <v>0</v>
      </c>
      <c r="H17" s="924">
        <f>Zusatzeingaben!H94</f>
        <v>0</v>
      </c>
      <c r="I17" s="925">
        <f>Zusatzeingaben!I94</f>
        <v>0</v>
      </c>
      <c r="J17" s="805"/>
      <c r="K17" s="930">
        <f>Wohngeld!A17</f>
        <v>0</v>
      </c>
      <c r="L17" s="918">
        <f>Wohngeld!B17</f>
        <v>0</v>
      </c>
      <c r="M17" s="637">
        <f>Wohngeld!C17</f>
        <v>0</v>
      </c>
      <c r="N17" s="637">
        <f>Wohngeld!D17</f>
        <v>0</v>
      </c>
      <c r="O17" s="637">
        <f>Wohngeld!E17</f>
        <v>0</v>
      </c>
      <c r="P17" s="637">
        <f>Wohngeld!F17</f>
        <v>0</v>
      </c>
      <c r="Q17" s="637">
        <f>Wohngeld!G17</f>
        <v>0</v>
      </c>
      <c r="R17" s="637">
        <f>Wohngeld!H17</f>
        <v>0</v>
      </c>
      <c r="S17" s="638">
        <f>Wohngeld!I17</f>
        <v>0</v>
      </c>
      <c r="T17" s="805"/>
      <c r="U17" s="936" t="str">
        <f>Kinderzuschlag!A179</f>
        <v>Kosten der Unterkunft und Heizung</v>
      </c>
      <c r="V17" s="944">
        <f>Kinderzuschlag!B179</f>
        <v>0</v>
      </c>
      <c r="W17" s="945">
        <f>Kinderzuschlag!C179</f>
        <v>0</v>
      </c>
      <c r="X17" s="831">
        <f>Kinderzuschlag!D179</f>
        <v>0</v>
      </c>
      <c r="Y17" s="831">
        <f>Kinderzuschlag!E179</f>
        <v>0</v>
      </c>
      <c r="Z17" s="831">
        <f>Kinderzuschlag!F179</f>
        <v>0</v>
      </c>
      <c r="AA17" s="831">
        <f>Kinderzuschlag!G179</f>
        <v>0</v>
      </c>
      <c r="AB17" s="831">
        <f>Kinderzuschlag!H179</f>
        <v>0</v>
      </c>
      <c r="AC17" s="832">
        <f>Kinderzuschlag!I179</f>
        <v>0</v>
      </c>
      <c r="AD17" s="805"/>
      <c r="AE17" s="939">
        <f>ZuschussKV!A17</f>
        <v>0</v>
      </c>
      <c r="AF17" s="946">
        <f>ZuschussKV!B17</f>
        <v>0</v>
      </c>
      <c r="AG17" s="942">
        <f>ZuschussKV!C17</f>
        <v>0</v>
      </c>
      <c r="AH17" s="942">
        <f>ZuschussKV!D17</f>
        <v>0</v>
      </c>
      <c r="AI17" s="942">
        <f>ZuschussKV!E17</f>
        <v>0</v>
      </c>
      <c r="AJ17" s="942">
        <f>ZuschussKV!F17</f>
        <v>0</v>
      </c>
      <c r="AK17" s="942">
        <f>ZuschussKV!G17</f>
        <v>0</v>
      </c>
    </row>
    <row r="18" spans="1:37" ht="20.25">
      <c r="A18" s="922">
        <f>IF(B18&gt;0,"Warmwasser dezentral",0)</f>
        <v>0</v>
      </c>
      <c r="B18" s="923">
        <f>SUM(C18:I18)</f>
        <v>0</v>
      </c>
      <c r="C18" s="913">
        <f>Zusatzeingaben!C98</f>
        <v>0</v>
      </c>
      <c r="D18" s="924">
        <f>Zusatzeingaben!D98</f>
        <v>0</v>
      </c>
      <c r="E18" s="924">
        <f>Zusatzeingaben!E98</f>
        <v>0</v>
      </c>
      <c r="F18" s="924">
        <f>Zusatzeingaben!F98</f>
        <v>0</v>
      </c>
      <c r="G18" s="924">
        <f>Zusatzeingaben!G98</f>
        <v>0</v>
      </c>
      <c r="H18" s="924">
        <f>Zusatzeingaben!H98</f>
        <v>0</v>
      </c>
      <c r="I18" s="925">
        <f>Zusatzeingaben!I98</f>
        <v>0</v>
      </c>
      <c r="J18" s="805"/>
      <c r="K18" s="917">
        <f>Wohngeld!A18</f>
        <v>0</v>
      </c>
      <c r="L18" s="918">
        <f>Wohngeld!B18</f>
        <v>0</v>
      </c>
      <c r="M18" s="637">
        <f>Wohngeld!C18</f>
        <v>0</v>
      </c>
      <c r="N18" s="637">
        <f>Wohngeld!D18</f>
        <v>0</v>
      </c>
      <c r="O18" s="637">
        <f>Wohngeld!E18</f>
        <v>0</v>
      </c>
      <c r="P18" s="637">
        <f>Wohngeld!F18</f>
        <v>0</v>
      </c>
      <c r="Q18" s="637">
        <f>Wohngeld!G18</f>
        <v>0</v>
      </c>
      <c r="R18" s="637">
        <f>Wohngeld!H18</f>
        <v>0</v>
      </c>
      <c r="S18" s="638">
        <f>Wohngeld!I18</f>
        <v>0</v>
      </c>
      <c r="T18" s="805"/>
      <c r="U18" s="947" t="str">
        <f>Kinderzuschlag!A180</f>
        <v>Summe</v>
      </c>
      <c r="V18" s="948">
        <f>Kinderzuschlag!B180</f>
        <v>449</v>
      </c>
      <c r="W18" s="831">
        <f>Kinderzuschlag!C180</f>
        <v>0</v>
      </c>
      <c r="X18" s="831">
        <f>Kinderzuschlag!D180</f>
        <v>0</v>
      </c>
      <c r="Y18" s="831">
        <f>Kinderzuschlag!E180</f>
        <v>0</v>
      </c>
      <c r="Z18" s="831">
        <f>Kinderzuschlag!F180</f>
        <v>0</v>
      </c>
      <c r="AA18" s="831">
        <f>Kinderzuschlag!G180</f>
        <v>0</v>
      </c>
      <c r="AB18" s="831">
        <f>Kinderzuschlag!H180</f>
        <v>0</v>
      </c>
      <c r="AC18" s="832">
        <f>Kinderzuschlag!I180</f>
        <v>0</v>
      </c>
      <c r="AD18" s="805"/>
      <c r="AE18" s="939">
        <f>ZuschussKV!A18</f>
        <v>0</v>
      </c>
      <c r="AF18" s="940">
        <f>ZuschussKV!B18</f>
        <v>0</v>
      </c>
      <c r="AG18" s="949">
        <f>ZuschussKV!C18</f>
        <v>0</v>
      </c>
      <c r="AH18" s="949">
        <f>ZuschussKV!D18</f>
        <v>0</v>
      </c>
      <c r="AI18" s="949">
        <f>ZuschussKV!E18</f>
        <v>0</v>
      </c>
      <c r="AJ18" s="949">
        <f>ZuschussKV!F18</f>
        <v>0</v>
      </c>
      <c r="AK18" s="949">
        <f>ZuschussKV!G18</f>
        <v>0</v>
      </c>
    </row>
    <row r="19" spans="1:37" ht="20.25">
      <c r="A19" s="922">
        <f>IF(B19&gt;0,"erwerbsunfähig, Merkzeichen G",0)</f>
        <v>0</v>
      </c>
      <c r="B19" s="923">
        <f>SUM(C19:I19)</f>
        <v>0</v>
      </c>
      <c r="C19" s="913">
        <f>IF(Zusatzeingaben!C34="nein",Zusatzeingaben!C100,0)</f>
        <v>0</v>
      </c>
      <c r="D19" s="924">
        <f>IF(Zusatzeingaben!D34="nein",Zusatzeingaben!D100,0)</f>
        <v>0</v>
      </c>
      <c r="E19" s="924">
        <f>IF(Zusatzeingaben!E34="nein",Zusatzeingaben!E100,0)</f>
        <v>0</v>
      </c>
      <c r="F19" s="924">
        <f>IF(Zusatzeingaben!F34="nein",Zusatzeingaben!F100,0)</f>
        <v>0</v>
      </c>
      <c r="G19" s="924">
        <f>IF(Zusatzeingaben!G34="nein",Zusatzeingaben!G100,0)</f>
        <v>0</v>
      </c>
      <c r="H19" s="924">
        <f>IF(Zusatzeingaben!H34="nein",Zusatzeingaben!H100,0)</f>
        <v>0</v>
      </c>
      <c r="I19" s="925">
        <f>IF(Zusatzeingaben!I34="nein",Zusatzeingaben!I100,0)</f>
        <v>0</v>
      </c>
      <c r="J19" s="805"/>
      <c r="K19" s="950" t="str">
        <f>Wohngeld!A19</f>
        <v>Höchstbetrag nach § 12 WoGG</v>
      </c>
      <c r="L19" s="951">
        <f>Wohngeld!B19</f>
        <v>522</v>
      </c>
      <c r="M19" s="952">
        <f>Wohngeld!C19</f>
        <v>0</v>
      </c>
      <c r="N19" s="952">
        <f>Wohngeld!D19</f>
        <v>0</v>
      </c>
      <c r="O19" s="952">
        <f>Wohngeld!E19</f>
        <v>0</v>
      </c>
      <c r="P19" s="952">
        <f>Wohngeld!F19</f>
        <v>0</v>
      </c>
      <c r="Q19" s="952">
        <f>Wohngeld!G19</f>
        <v>0</v>
      </c>
      <c r="R19" s="952">
        <f>Wohngeld!H19</f>
        <v>0</v>
      </c>
      <c r="S19" s="953">
        <f>Wohngeld!I19</f>
        <v>0</v>
      </c>
      <c r="T19" s="805"/>
      <c r="U19" s="931" t="str">
        <f>Kinderzuschlag!A181</f>
        <v>Höchsteinkommensgrenze der Eltern</v>
      </c>
      <c r="V19" s="831">
        <f>Kinderzuschlag!B181</f>
        <v>0</v>
      </c>
      <c r="W19" s="831">
        <f>Kinderzuschlag!C181</f>
        <v>0</v>
      </c>
      <c r="X19" s="831">
        <f>Kinderzuschlag!D181</f>
        <v>0</v>
      </c>
      <c r="Y19" s="831">
        <f>Kinderzuschlag!E181</f>
        <v>0</v>
      </c>
      <c r="Z19" s="831">
        <f>Kinderzuschlag!F181</f>
        <v>0</v>
      </c>
      <c r="AA19" s="831">
        <f>Kinderzuschlag!G181</f>
        <v>0</v>
      </c>
      <c r="AB19" s="831">
        <f>Kinderzuschlag!H181</f>
        <v>0</v>
      </c>
      <c r="AC19" s="832">
        <f>Kinderzuschlag!I181</f>
        <v>0</v>
      </c>
      <c r="AD19" s="805"/>
      <c r="AE19" s="954" t="str">
        <f>ZuschussKV!A19</f>
        <v>Beitrag zur privaten Pflegeversicherung</v>
      </c>
      <c r="AF19" s="955">
        <f>ZuschussKV!B19</f>
        <v>0</v>
      </c>
      <c r="AG19" s="482">
        <f>ZuschussKV!C19</f>
        <v>0</v>
      </c>
      <c r="AH19" s="482">
        <f>ZuschussKV!D19</f>
        <v>0</v>
      </c>
      <c r="AI19" s="482">
        <f>ZuschussKV!E19</f>
        <v>0</v>
      </c>
      <c r="AJ19" s="482">
        <f>ZuschussKV!F19</f>
        <v>0</v>
      </c>
      <c r="AK19" s="532">
        <f>ZuschussKV!G19</f>
        <v>0</v>
      </c>
    </row>
    <row r="20" spans="1:37" ht="18" customHeight="1">
      <c r="A20" s="956" t="s">
        <v>169</v>
      </c>
      <c r="B20" s="913"/>
      <c r="C20" s="957"/>
      <c r="D20" s="958"/>
      <c r="E20" s="958"/>
      <c r="F20" s="915"/>
      <c r="G20" s="915"/>
      <c r="H20" s="915"/>
      <c r="I20" s="916"/>
      <c r="J20" s="805"/>
      <c r="K20" s="959" t="str">
        <f>Wohngeld!A20</f>
        <v>zu berücksichtigende Miete</v>
      </c>
      <c r="L20" s="960">
        <f>Wohngeld!B20</f>
        <v>0</v>
      </c>
      <c r="M20" s="961">
        <f>Wohngeld!C20</f>
        <v>0</v>
      </c>
      <c r="N20" s="961">
        <f>Wohngeld!D20</f>
        <v>0</v>
      </c>
      <c r="O20" s="961">
        <f>Wohngeld!E20</f>
        <v>0</v>
      </c>
      <c r="P20" s="961">
        <f>Wohngeld!F20</f>
        <v>0</v>
      </c>
      <c r="Q20" s="961">
        <f>Wohngeld!G20</f>
        <v>0</v>
      </c>
      <c r="R20" s="961">
        <f>Wohngeld!H20</f>
        <v>0</v>
      </c>
      <c r="S20" s="962">
        <f>Wohngeld!I20</f>
        <v>0</v>
      </c>
      <c r="T20" s="805"/>
      <c r="U20" s="936" t="str">
        <f>Kinderzuschlag!A182</f>
        <v>Bemessungsgrenze</v>
      </c>
      <c r="V20" s="937">
        <f>Kinderzuschlag!B182</f>
        <v>449</v>
      </c>
      <c r="W20" s="831">
        <f>Kinderzuschlag!C182</f>
        <v>0</v>
      </c>
      <c r="X20" s="831">
        <f>Kinderzuschlag!D182</f>
        <v>0</v>
      </c>
      <c r="Y20" s="831">
        <f>Kinderzuschlag!E182</f>
        <v>0</v>
      </c>
      <c r="Z20" s="831">
        <f>Kinderzuschlag!F182</f>
        <v>0</v>
      </c>
      <c r="AA20" s="831">
        <f>Kinderzuschlag!G182</f>
        <v>0</v>
      </c>
      <c r="AB20" s="831">
        <f>Kinderzuschlag!H182</f>
        <v>0</v>
      </c>
      <c r="AC20" s="832">
        <f>Kinderzuschlag!I182</f>
        <v>0</v>
      </c>
      <c r="AD20" s="805"/>
      <c r="AE20" s="963">
        <f>ZuschussKV!A20</f>
        <v>0</v>
      </c>
      <c r="AF20" s="964">
        <f>ZuschussKV!B20</f>
        <v>0</v>
      </c>
      <c r="AG20" s="549">
        <f>ZuschussKV!C20</f>
        <v>0</v>
      </c>
      <c r="AH20" s="549">
        <f>ZuschussKV!D20</f>
        <v>0</v>
      </c>
      <c r="AI20" s="549">
        <f>ZuschussKV!E20</f>
        <v>0</v>
      </c>
      <c r="AJ20" s="549">
        <f>ZuschussKV!F20</f>
        <v>0</v>
      </c>
      <c r="AK20" s="550">
        <f>ZuschussKV!G20</f>
        <v>0</v>
      </c>
    </row>
    <row r="21" spans="1:37" ht="18" hidden="1" customHeight="1">
      <c r="A21" s="965"/>
      <c r="B21" s="913">
        <f>Zusatzeingaben!C102</f>
        <v>0</v>
      </c>
      <c r="C21" s="913">
        <f>B21/B7</f>
        <v>0</v>
      </c>
      <c r="D21" s="924">
        <f>IF(D9=0,0,B21/B7)</f>
        <v>0</v>
      </c>
      <c r="E21" s="924">
        <f>IF(Zusatzeingaben!E33=0,0,B21/B7)</f>
        <v>0</v>
      </c>
      <c r="F21" s="924">
        <f>IF(Zusatzeingaben!F33=0,0,B21/B7)</f>
        <v>0</v>
      </c>
      <c r="G21" s="924">
        <f>IF(Zusatzeingaben!G33=0,0,B21/B7)</f>
        <v>0</v>
      </c>
      <c r="H21" s="924">
        <f>IF(Zusatzeingaben!H33=0,0,B21/B7)</f>
        <v>0</v>
      </c>
      <c r="I21" s="925">
        <f>IF(Zusatzeingaben!I33=0,0,B21/B7)</f>
        <v>0</v>
      </c>
      <c r="J21" s="805"/>
      <c r="K21" s="801">
        <f>Wohngeld!A21</f>
        <v>0</v>
      </c>
      <c r="L21" s="801">
        <f>Wohngeld!B21</f>
        <v>0</v>
      </c>
      <c r="M21" s="966">
        <f>Wohngeld!C21</f>
        <v>391</v>
      </c>
      <c r="N21" s="966">
        <f>Wohngeld!D21</f>
        <v>353</v>
      </c>
      <c r="O21" s="966">
        <f>Wohngeld!E21</f>
        <v>296</v>
      </c>
      <c r="P21" s="966">
        <f>Wohngeld!F21</f>
        <v>261</v>
      </c>
      <c r="Q21" s="966">
        <f>Wohngeld!G21</f>
        <v>229</v>
      </c>
      <c r="R21" s="966">
        <f>Wohngeld!H21</f>
        <v>313</v>
      </c>
      <c r="S21" s="801">
        <f>Wohngeld!I21</f>
        <v>0</v>
      </c>
      <c r="T21" s="805"/>
      <c r="U21" s="936" t="str">
        <f>Kinderzuschlag!A183</f>
        <v>Kinderzuschlag (ungem.)</v>
      </c>
      <c r="V21" s="944">
        <f>Kinderzuschlag!B183</f>
        <v>0</v>
      </c>
      <c r="W21" s="831">
        <f>Kinderzuschlag!C183</f>
        <v>0</v>
      </c>
      <c r="X21" s="831">
        <f>Kinderzuschlag!D183</f>
        <v>0</v>
      </c>
      <c r="Y21" s="831">
        <f>Kinderzuschlag!E183</f>
        <v>0</v>
      </c>
      <c r="Z21" s="831">
        <f>Kinderzuschlag!F183</f>
        <v>0</v>
      </c>
      <c r="AA21" s="831">
        <f>Kinderzuschlag!G183</f>
        <v>0</v>
      </c>
      <c r="AB21" s="831">
        <f>Kinderzuschlag!H183</f>
        <v>0</v>
      </c>
      <c r="AC21" s="832">
        <f>Kinderzuschlag!I183</f>
        <v>0</v>
      </c>
      <c r="AD21" s="805"/>
      <c r="AE21" s="967" t="str">
        <f>ZuschussKV!A21</f>
        <v>Gesetzliche Krankenversicherung</v>
      </c>
      <c r="AF21" s="968">
        <f>ZuschussKV!B21</f>
        <v>0</v>
      </c>
      <c r="AG21" s="1985" t="str">
        <f>ZuschussKV!C21</f>
        <v>Kommentare beachten und Einkommen im Arbeitsblatt "Eingaben" erfassen!</v>
      </c>
      <c r="AH21" s="1985"/>
      <c r="AI21" s="1985"/>
      <c r="AJ21" s="1985"/>
      <c r="AK21" s="1985"/>
    </row>
    <row r="22" spans="1:37" ht="23.25" hidden="1" customHeight="1">
      <c r="A22" s="969"/>
      <c r="B22" s="913">
        <f>SUM(C22:I22)</f>
        <v>0</v>
      </c>
      <c r="C22" s="913">
        <f>C21</f>
        <v>0</v>
      </c>
      <c r="D22" s="924">
        <f>D21</f>
        <v>0</v>
      </c>
      <c r="E22" s="924">
        <f>IF(Zusatzeingaben!E8&gt;Zusatzeingaben!E2,E21*Zusatzeingaben!E14/30,IF(Zusatzeingaben!E18=25,E21*Zusatzeingaben!E10/30,E21))</f>
        <v>0</v>
      </c>
      <c r="F22" s="924">
        <f>IF(Zusatzeingaben!F8&gt;Zusatzeingaben!E2,F21*Zusatzeingaben!F14/30,IF(Zusatzeingaben!F18=25,F21*Zusatzeingaben!F10/30,F21))</f>
        <v>0</v>
      </c>
      <c r="G22" s="924">
        <f>IF(Zusatzeingaben!G8&gt;Zusatzeingaben!E2,G21*Zusatzeingaben!G14/30,IF(Zusatzeingaben!G18=25,G21*Zusatzeingaben!G10/30,G21))</f>
        <v>0</v>
      </c>
      <c r="H22" s="924">
        <f>IF(Zusatzeingaben!H8&gt;Zusatzeingaben!E2,H21*Zusatzeingaben!H14/30,IF(Zusatzeingaben!H18=25,H21*Zusatzeingaben!H10/30,H21))</f>
        <v>0</v>
      </c>
      <c r="I22" s="925">
        <f>IF(Zusatzeingaben!I8&gt;Zusatzeingaben!E2,I21*Zusatzeingaben!I14/30,IF(Zusatzeingaben!I18=25,I21*Zusatzeingaben!I10/30,I21))</f>
        <v>0</v>
      </c>
      <c r="J22" s="970">
        <f>COUNTIF(C22:I22,C22)</f>
        <v>7</v>
      </c>
      <c r="K22" s="1977" t="str">
        <f>Wohngeld!A22</f>
        <v>Gesamteinkommen</v>
      </c>
      <c r="L22" s="1977"/>
      <c r="M22" s="1977"/>
      <c r="N22" s="1977"/>
      <c r="O22" s="1977"/>
      <c r="P22" s="1977"/>
      <c r="Q22" s="1977"/>
      <c r="R22" s="1977"/>
      <c r="S22" s="1977"/>
      <c r="T22" s="805"/>
      <c r="U22" s="947" t="str">
        <f>Kinderzuschlag!A184</f>
        <v>Summe</v>
      </c>
      <c r="V22" s="948">
        <f>Kinderzuschlag!B184</f>
        <v>449</v>
      </c>
      <c r="W22" s="831">
        <f>Kinderzuschlag!C184</f>
        <v>0</v>
      </c>
      <c r="X22" s="831">
        <f>Kinderzuschlag!D184</f>
        <v>0</v>
      </c>
      <c r="Y22" s="831">
        <f>Kinderzuschlag!E184</f>
        <v>0</v>
      </c>
      <c r="Z22" s="831">
        <f>Kinderzuschlag!F184</f>
        <v>0</v>
      </c>
      <c r="AA22" s="831">
        <f>Kinderzuschlag!G184</f>
        <v>0</v>
      </c>
      <c r="AB22" s="831">
        <f>Kinderzuschlag!H184</f>
        <v>0</v>
      </c>
      <c r="AC22" s="832">
        <f>Kinderzuschlag!I184</f>
        <v>0</v>
      </c>
      <c r="AD22" s="805"/>
      <c r="AE22" s="971" t="str">
        <f>ZuschussKV!A22</f>
        <v>Freiwilliger Beitrag zur gesetzlichen Krankenversicherung</v>
      </c>
      <c r="AF22" s="934">
        <f>ZuschussKV!B22</f>
        <v>0</v>
      </c>
      <c r="AG22" s="457">
        <f>ZuschussKV!C22</f>
        <v>0</v>
      </c>
      <c r="AH22" s="457">
        <f>ZuschussKV!D22</f>
        <v>0</v>
      </c>
      <c r="AI22" s="457">
        <f>ZuschussKV!E22</f>
        <v>0</v>
      </c>
      <c r="AJ22" s="457">
        <f>ZuschussKV!F22</f>
        <v>0</v>
      </c>
      <c r="AK22" s="529">
        <f>ZuschussKV!G22</f>
        <v>0</v>
      </c>
    </row>
    <row r="23" spans="1:37" ht="17.25" hidden="1" customHeight="1">
      <c r="A23" s="965"/>
      <c r="B23" s="913">
        <f>SUM(C23:I23)</f>
        <v>0</v>
      </c>
      <c r="C23" s="913">
        <f>IF(AND(B22&lt;B21,C22=C21,C22&gt;0),C21+(B21-B22)/J22,C22)</f>
        <v>0</v>
      </c>
      <c r="D23" s="924">
        <f>IF(AND(B22&lt;B21,D22=D21,D22&gt;0),D21+(B21-B22)/J22,D22)</f>
        <v>0</v>
      </c>
      <c r="E23" s="924">
        <f>IF(AND(B22&lt;B21,E22=E21,E22&gt;0),E21+(B21-B22)/$J22,E22)</f>
        <v>0</v>
      </c>
      <c r="F23" s="924">
        <f>IF(AND(C22&lt;C21,F22=F21,F22&gt;0),F21+(C21-C22)/$J22,F22)</f>
        <v>0</v>
      </c>
      <c r="G23" s="924">
        <f>IF(AND(D22&lt;D21,G22=G21,G22&gt;0),G21+(D21-D22)/$J22,G22)</f>
        <v>0</v>
      </c>
      <c r="H23" s="924">
        <f>IF(AND(E22&lt;E21,H22=H21,H22&gt;0),H21+(E21-E22)/$J22,H22)</f>
        <v>0</v>
      </c>
      <c r="I23" s="925">
        <f>IF(AND(F22&lt;F21,I22=I21,I22&gt;0),I21+(F21-F22)/$J22,I22)</f>
        <v>0</v>
      </c>
      <c r="J23" s="970"/>
      <c r="K23" s="839">
        <f>Wohngeld!A23</f>
        <v>0</v>
      </c>
      <c r="L23" s="972" t="str">
        <f>Wohngeld!B23</f>
        <v>BG insgesamt</v>
      </c>
      <c r="M23" s="972" t="str">
        <f>Wohngeld!C23</f>
        <v>Antragsteller</v>
      </c>
      <c r="N23" s="972" t="str">
        <f>Wohngeld!D23</f>
        <v>Partner(in)</v>
      </c>
      <c r="O23" s="972" t="str">
        <f>Wohngeld!E23</f>
        <v>Kind 1</v>
      </c>
      <c r="P23" s="972" t="str">
        <f>Wohngeld!F23</f>
        <v>Kind 2</v>
      </c>
      <c r="Q23" s="972" t="str">
        <f>Wohngeld!G23</f>
        <v>Kind 3</v>
      </c>
      <c r="R23" s="972" t="str">
        <f>Wohngeld!H23</f>
        <v>Kind 4</v>
      </c>
      <c r="S23" s="973" t="str">
        <f>Wohngeld!I23</f>
        <v>Kind 5</v>
      </c>
      <c r="T23" s="805"/>
      <c r="U23" s="974">
        <f>Kinderzuschlag!A185</f>
        <v>0</v>
      </c>
      <c r="V23" s="831">
        <f>Kinderzuschlag!B185</f>
        <v>0</v>
      </c>
      <c r="W23" s="831">
        <f>Kinderzuschlag!C185</f>
        <v>0</v>
      </c>
      <c r="X23" s="831">
        <f>Kinderzuschlag!D185</f>
        <v>0</v>
      </c>
      <c r="Y23" s="831">
        <f>Kinderzuschlag!E185</f>
        <v>0</v>
      </c>
      <c r="Z23" s="831">
        <f>Kinderzuschlag!F185</f>
        <v>0</v>
      </c>
      <c r="AA23" s="831">
        <f>Kinderzuschlag!G185</f>
        <v>0</v>
      </c>
      <c r="AB23" s="831">
        <f>Kinderzuschlag!H185</f>
        <v>0</v>
      </c>
      <c r="AC23" s="832">
        <f>Kinderzuschlag!I185</f>
        <v>0</v>
      </c>
      <c r="AD23" s="805"/>
      <c r="AE23" s="971" t="str">
        <f>ZuschussKV!A23</f>
        <v>Pflichtbeitrag zur gesetzlichen Krankenversicherung</v>
      </c>
      <c r="AF23" s="934">
        <f>ZuschussKV!B23</f>
        <v>0</v>
      </c>
      <c r="AG23" s="457">
        <f>ZuschussKV!C23</f>
        <v>0</v>
      </c>
      <c r="AH23" s="457">
        <f>ZuschussKV!D23</f>
        <v>0</v>
      </c>
      <c r="AI23" s="457">
        <f>ZuschussKV!E23</f>
        <v>0</v>
      </c>
      <c r="AJ23" s="457">
        <f>ZuschussKV!F23</f>
        <v>0</v>
      </c>
      <c r="AK23" s="529">
        <f>ZuschussKV!G23</f>
        <v>0</v>
      </c>
    </row>
    <row r="24" spans="1:37" ht="20.25">
      <c r="A24" s="975">
        <f>IF(B24&gt;0,Zusatzeingaben!A102,0)</f>
        <v>0</v>
      </c>
      <c r="B24" s="923">
        <f>SUM(C24:I24)</f>
        <v>0</v>
      </c>
      <c r="C24" s="913">
        <f>IF(Zusatzeingaben!$K$18&gt;0,C22,C23)</f>
        <v>0</v>
      </c>
      <c r="D24" s="924">
        <f>IF(Zusatzeingaben!$K$18&gt;0,D22,D23)</f>
        <v>0</v>
      </c>
      <c r="E24" s="924">
        <f>IF(Zusatzeingaben!$K$18&gt;0,E22,E23)</f>
        <v>0</v>
      </c>
      <c r="F24" s="924">
        <f>IF(Zusatzeingaben!$K$18&gt;0,F22,F23)</f>
        <v>0</v>
      </c>
      <c r="G24" s="924">
        <f>IF(Zusatzeingaben!$K$18&gt;0,G22,G23)</f>
        <v>0</v>
      </c>
      <c r="H24" s="924">
        <f>IF(Zusatzeingaben!$K$18&gt;0,H22,H23)</f>
        <v>0</v>
      </c>
      <c r="I24" s="925">
        <f>IF(Zusatzeingaben!$K$18&gt;0,I22,I23)</f>
        <v>0</v>
      </c>
      <c r="J24" s="805"/>
      <c r="K24" s="976">
        <f>Wohngeld!A24</f>
        <v>0</v>
      </c>
      <c r="L24" s="977">
        <f>Wohngeld!B24</f>
        <v>0</v>
      </c>
      <c r="M24" s="522">
        <f>Wohngeld!C24</f>
        <v>0</v>
      </c>
      <c r="N24" s="522">
        <f>Wohngeld!D24</f>
        <v>0</v>
      </c>
      <c r="O24" s="522">
        <f>Wohngeld!E24</f>
        <v>0</v>
      </c>
      <c r="P24" s="522">
        <f>Wohngeld!F24</f>
        <v>0</v>
      </c>
      <c r="Q24" s="522">
        <f>Wohngeld!G24</f>
        <v>0</v>
      </c>
      <c r="R24" s="522">
        <f>Wohngeld!H24</f>
        <v>0</v>
      </c>
      <c r="S24" s="523">
        <f>Wohngeld!I24</f>
        <v>0</v>
      </c>
      <c r="T24" s="805"/>
      <c r="U24" s="820" t="str">
        <f>Kinderzuschlag!A186</f>
        <v>Kinderzuschlag</v>
      </c>
      <c r="V24" s="829">
        <f>Kinderzuschlag!B186</f>
        <v>0</v>
      </c>
      <c r="W24" s="831">
        <f>Kinderzuschlag!C186</f>
        <v>0</v>
      </c>
      <c r="X24" s="831">
        <f>Kinderzuschlag!D186</f>
        <v>0</v>
      </c>
      <c r="Y24" s="831">
        <f>Kinderzuschlag!E186</f>
        <v>0</v>
      </c>
      <c r="Z24" s="831">
        <f>Kinderzuschlag!F186</f>
        <v>0</v>
      </c>
      <c r="AA24" s="831">
        <f>Kinderzuschlag!G186</f>
        <v>0</v>
      </c>
      <c r="AB24" s="831">
        <f>Kinderzuschlag!H186</f>
        <v>0</v>
      </c>
      <c r="AC24" s="832">
        <f>Kinderzuschlag!I186</f>
        <v>0</v>
      </c>
      <c r="AD24" s="805"/>
      <c r="AE24" s="971" t="str">
        <f>ZuschussKV!A24</f>
        <v>Beitragszuschuss zur KV (z.B. von der Rentenversicherung)</v>
      </c>
      <c r="AF24" s="534">
        <f>ZuschussKV!B24</f>
        <v>0</v>
      </c>
      <c r="AG24" s="457">
        <f>ZuschussKV!C24</f>
        <v>0</v>
      </c>
      <c r="AH24" s="457">
        <f>ZuschussKV!D24</f>
        <v>0</v>
      </c>
      <c r="AI24" s="457">
        <f>ZuschussKV!E24</f>
        <v>0</v>
      </c>
      <c r="AJ24" s="457">
        <f>ZuschussKV!F24</f>
        <v>0</v>
      </c>
      <c r="AK24" s="529">
        <f>ZuschussKV!G24</f>
        <v>0</v>
      </c>
    </row>
    <row r="25" spans="1:37" ht="17.25" hidden="1" customHeight="1">
      <c r="A25" s="978" t="str">
        <f>Zusatzeingaben!A103</f>
        <v>weitere Kosten</v>
      </c>
      <c r="B25" s="923">
        <f>Zusatzeingaben!C103</f>
        <v>0</v>
      </c>
      <c r="C25" s="913">
        <f>B25/B7</f>
        <v>0</v>
      </c>
      <c r="D25" s="924">
        <f>IF(D9="",0,B25/B7)</f>
        <v>0</v>
      </c>
      <c r="E25" s="924">
        <f>IF(E9="",0,B25/B7)</f>
        <v>0</v>
      </c>
      <c r="F25" s="924">
        <f>IF(F9="",0,B25/B7)</f>
        <v>0</v>
      </c>
      <c r="G25" s="924">
        <f>IF(G9="",0,B25/B7)</f>
        <v>0</v>
      </c>
      <c r="H25" s="924">
        <f>IF(H9="",0,B25/B7)</f>
        <v>0</v>
      </c>
      <c r="I25" s="925">
        <f>IF(I9="",0,B25/B7)</f>
        <v>0</v>
      </c>
      <c r="J25" s="805"/>
      <c r="K25" s="976">
        <f>Wohngeld!A25</f>
        <v>0</v>
      </c>
      <c r="L25" s="977">
        <f>Wohngeld!B25</f>
        <v>0</v>
      </c>
      <c r="M25" s="522">
        <f>Wohngeld!C25</f>
        <v>0</v>
      </c>
      <c r="N25" s="522">
        <f>Wohngeld!D25</f>
        <v>0</v>
      </c>
      <c r="O25" s="522">
        <f>Wohngeld!E25</f>
        <v>0</v>
      </c>
      <c r="P25" s="522">
        <f>Wohngeld!F25</f>
        <v>0</v>
      </c>
      <c r="Q25" s="522">
        <f>Wohngeld!G25</f>
        <v>0</v>
      </c>
      <c r="R25" s="522">
        <f>Wohngeld!H25</f>
        <v>0</v>
      </c>
      <c r="S25" s="523">
        <f>Wohngeld!I25</f>
        <v>0</v>
      </c>
      <c r="T25" s="805"/>
      <c r="U25" s="820" t="str">
        <f>Kinderzuschlag!A187</f>
        <v>übersteigendes Einkommen der Eltern</v>
      </c>
      <c r="V25" s="829">
        <f>Kinderzuschlag!B187</f>
        <v>0</v>
      </c>
      <c r="W25" s="831">
        <f>Kinderzuschlag!C187</f>
        <v>0</v>
      </c>
      <c r="X25" s="831">
        <f>Kinderzuschlag!D187</f>
        <v>0</v>
      </c>
      <c r="Y25" s="831">
        <f>Kinderzuschlag!E187</f>
        <v>0</v>
      </c>
      <c r="Z25" s="831">
        <f>Kinderzuschlag!F187</f>
        <v>0</v>
      </c>
      <c r="AA25" s="831">
        <f>Kinderzuschlag!G187</f>
        <v>0</v>
      </c>
      <c r="AB25" s="831">
        <f>Kinderzuschlag!H187</f>
        <v>0</v>
      </c>
      <c r="AC25" s="832">
        <f>Kinderzuschlag!I187</f>
        <v>0</v>
      </c>
      <c r="AD25" s="805"/>
      <c r="AE25" s="933" t="str">
        <f>ZuschussKV!A25</f>
        <v>Beitrag zur Pflegeversicherung</v>
      </c>
      <c r="AF25" s="934">
        <f>ZuschussKV!B25</f>
        <v>0</v>
      </c>
      <c r="AG25" s="457">
        <f>ZuschussKV!C25</f>
        <v>0</v>
      </c>
      <c r="AH25" s="457">
        <f>ZuschussKV!D25</f>
        <v>0</v>
      </c>
      <c r="AI25" s="457">
        <f>ZuschussKV!E25</f>
        <v>0</v>
      </c>
      <c r="AJ25" s="457">
        <f>ZuschussKV!F25</f>
        <v>0</v>
      </c>
      <c r="AK25" s="529">
        <f>ZuschussKV!G25</f>
        <v>0</v>
      </c>
    </row>
    <row r="26" spans="1:37" ht="17.25" hidden="1" customHeight="1">
      <c r="A26" s="979"/>
      <c r="B26" s="923">
        <f>Zusatzeingaben!C104</f>
        <v>0</v>
      </c>
      <c r="C26" s="913">
        <f>B26/B7</f>
        <v>0</v>
      </c>
      <c r="D26" s="924">
        <f>IF(D9=0,0,B26/B7)</f>
        <v>0</v>
      </c>
      <c r="E26" s="924">
        <f>IF(Zusatzeingaben!E33=0,0,B26/B7)</f>
        <v>0</v>
      </c>
      <c r="F26" s="924">
        <f>IF(Zusatzeingaben!F33=0,0,B26/B7)</f>
        <v>0</v>
      </c>
      <c r="G26" s="924">
        <f>IF(Zusatzeingaben!G33=0,0,B26/B7)</f>
        <v>0</v>
      </c>
      <c r="H26" s="924">
        <f>IF(Zusatzeingaben!H33=0,0,B26/B7)</f>
        <v>0</v>
      </c>
      <c r="I26" s="925">
        <f>IF(Zusatzeingaben!I33=0,0,B26/B7)</f>
        <v>0</v>
      </c>
      <c r="J26" s="805"/>
      <c r="K26" s="976">
        <f>Wohngeld!A26</f>
        <v>0</v>
      </c>
      <c r="L26" s="977">
        <f>Wohngeld!B26</f>
        <v>0</v>
      </c>
      <c r="M26" s="522">
        <f>Wohngeld!C26</f>
        <v>0</v>
      </c>
      <c r="N26" s="522">
        <f>Wohngeld!D26</f>
        <v>0</v>
      </c>
      <c r="O26" s="522">
        <f>Wohngeld!E26</f>
        <v>0</v>
      </c>
      <c r="P26" s="522">
        <f>Wohngeld!F26</f>
        <v>0</v>
      </c>
      <c r="Q26" s="522">
        <f>Wohngeld!G26</f>
        <v>0</v>
      </c>
      <c r="R26" s="522">
        <f>Wohngeld!H26</f>
        <v>0</v>
      </c>
      <c r="S26" s="523">
        <f>Wohngeld!I26</f>
        <v>0</v>
      </c>
      <c r="T26" s="805"/>
      <c r="U26" s="974">
        <f>Kinderzuschlag!A188</f>
        <v>0</v>
      </c>
      <c r="V26" s="829">
        <f>Kinderzuschlag!B188</f>
        <v>-449</v>
      </c>
      <c r="W26" s="860">
        <f>Kinderzuschlag!C188</f>
        <v>-220</v>
      </c>
      <c r="X26" s="860">
        <f>Kinderzuschlag!D188</f>
        <v>-220</v>
      </c>
      <c r="Y26" s="860">
        <f>Kinderzuschlag!E188</f>
        <v>-220</v>
      </c>
      <c r="Z26" s="831">
        <f>Kinderzuschlag!F188</f>
        <v>0</v>
      </c>
      <c r="AA26" s="831">
        <f>Kinderzuschlag!G188</f>
        <v>0</v>
      </c>
      <c r="AB26" s="831">
        <f>Kinderzuschlag!H188</f>
        <v>0</v>
      </c>
      <c r="AC26" s="832">
        <f>Kinderzuschlag!I188</f>
        <v>0</v>
      </c>
      <c r="AD26" s="805"/>
      <c r="AE26" s="954" t="str">
        <f>ZuschussKV!A26</f>
        <v>Beitragszuschuss zur PV (z.B. von der Rentenversicherung)</v>
      </c>
      <c r="AF26" s="574">
        <f>ZuschussKV!B26</f>
        <v>0</v>
      </c>
      <c r="AG26" s="482">
        <f>ZuschussKV!C26</f>
        <v>0</v>
      </c>
      <c r="AH26" s="482">
        <f>ZuschussKV!D26</f>
        <v>0</v>
      </c>
      <c r="AI26" s="482">
        <f>ZuschussKV!E26</f>
        <v>0</v>
      </c>
      <c r="AJ26" s="482">
        <f>ZuschussKV!F26</f>
        <v>0</v>
      </c>
      <c r="AK26" s="532">
        <f>ZuschussKV!G26</f>
        <v>0</v>
      </c>
    </row>
    <row r="27" spans="1:37" ht="18" hidden="1" customHeight="1">
      <c r="A27" s="975"/>
      <c r="B27" s="923">
        <f>SUM(C27:I27)</f>
        <v>0</v>
      </c>
      <c r="C27" s="913">
        <f>C26</f>
        <v>0</v>
      </c>
      <c r="D27" s="924">
        <f>D26</f>
        <v>0</v>
      </c>
      <c r="E27" s="924">
        <f>IF(Zusatzeingaben!E8&gt;Zusatzeingaben!E2,E26*Zusatzeingaben!E14/30,IF(Zusatzeingaben!E18=25,E26*Zusatzeingaben!E10/30,E26))</f>
        <v>0</v>
      </c>
      <c r="F27" s="924">
        <f>IF(Zusatzeingaben!F8&gt;Zusatzeingaben!E2,F26*Zusatzeingaben!F14/30,IF(Zusatzeingaben!F18=25,F26*Zusatzeingaben!F10/30,F26))</f>
        <v>0</v>
      </c>
      <c r="G27" s="924">
        <f>IF(Zusatzeingaben!G8&gt;Zusatzeingaben!E2,G26*Zusatzeingaben!G14/30,IF(Zusatzeingaben!G18=25,G26*Zusatzeingaben!G10/30,G26))</f>
        <v>0</v>
      </c>
      <c r="H27" s="924">
        <f>IF(Zusatzeingaben!H8&gt;Zusatzeingaben!E2,H26*Zusatzeingaben!H14/30,IF(Zusatzeingaben!H18=25,H26*Zusatzeingaben!H10/30,H26))</f>
        <v>0</v>
      </c>
      <c r="I27" s="925">
        <f>IF(Zusatzeingaben!I8&gt;Zusatzeingaben!E2,I26*Zusatzeingaben!I14/30,IF(Zusatzeingaben!I18=25,I26*Zusatzeingaben!I10/30,I26))</f>
        <v>0</v>
      </c>
      <c r="J27" s="805"/>
      <c r="K27" s="976">
        <f>Wohngeld!A27</f>
        <v>0</v>
      </c>
      <c r="L27" s="522">
        <f>Wohngeld!B27</f>
        <v>0</v>
      </c>
      <c r="M27" s="522">
        <f>Wohngeld!C27</f>
        <v>-200</v>
      </c>
      <c r="N27" s="522">
        <f>Wohngeld!D27</f>
        <v>-200</v>
      </c>
      <c r="O27" s="522">
        <f>Wohngeld!E27</f>
        <v>-200</v>
      </c>
      <c r="P27" s="522">
        <f>Wohngeld!F27</f>
        <v>-200</v>
      </c>
      <c r="Q27" s="522">
        <f>Wohngeld!G27</f>
        <v>-200</v>
      </c>
      <c r="R27" s="522">
        <f>Wohngeld!H27</f>
        <v>-200</v>
      </c>
      <c r="S27" s="523">
        <f>Wohngeld!I27</f>
        <v>-200</v>
      </c>
      <c r="T27" s="805"/>
      <c r="U27" s="820" t="str">
        <f>Kinderzuschlag!A189</f>
        <v>./. Einkommen, um das KiZ zu kürzen ist</v>
      </c>
      <c r="V27" s="980">
        <f>Kinderzuschlag!B189</f>
        <v>0</v>
      </c>
      <c r="W27" s="831">
        <f>Kinderzuschlag!C189</f>
        <v>0</v>
      </c>
      <c r="X27" s="831">
        <f>Kinderzuschlag!D189</f>
        <v>0</v>
      </c>
      <c r="Y27" s="831">
        <f>Kinderzuschlag!E189</f>
        <v>0</v>
      </c>
      <c r="Z27" s="831">
        <f>Kinderzuschlag!F189</f>
        <v>0</v>
      </c>
      <c r="AA27" s="831">
        <f>Kinderzuschlag!G189</f>
        <v>0</v>
      </c>
      <c r="AB27" s="831">
        <f>Kinderzuschlag!H189</f>
        <v>0</v>
      </c>
      <c r="AC27" s="832">
        <f>Kinderzuschlag!I189</f>
        <v>0</v>
      </c>
      <c r="AD27" s="805"/>
      <c r="AE27" s="981">
        <f>ZuschussKV!A27</f>
        <v>0</v>
      </c>
      <c r="AF27" s="982">
        <f>ZuschussKV!B27</f>
        <v>0</v>
      </c>
      <c r="AG27" s="983">
        <f>ZuschussKV!C27</f>
        <v>0</v>
      </c>
      <c r="AH27" s="983">
        <f>ZuschussKV!D27</f>
        <v>0</v>
      </c>
      <c r="AI27" s="983">
        <f>ZuschussKV!E27</f>
        <v>0</v>
      </c>
      <c r="AJ27" s="983">
        <f>ZuschussKV!F27</f>
        <v>0</v>
      </c>
      <c r="AK27" s="983">
        <f>ZuschussKV!G27</f>
        <v>0</v>
      </c>
    </row>
    <row r="28" spans="1:37" ht="18" hidden="1" customHeight="1">
      <c r="A28" s="979"/>
      <c r="B28" s="923">
        <f>SUM(C28:I28)</f>
        <v>0</v>
      </c>
      <c r="C28" s="913">
        <f>IF(AND(B27&lt;B26,C27=C26,C27&gt;0),C26+(B26-B27)/K27,C27)</f>
        <v>0</v>
      </c>
      <c r="D28" s="924">
        <f>IF(AND(B27&lt;B26,D27=D26,D27&gt;0),D26+(B26-B27)/K27,D27)</f>
        <v>0</v>
      </c>
      <c r="E28" s="924">
        <f>IF(AND(B27&lt;B26,E27=E26,E27&gt;0),E26+(B26-B27)/K27,E27)</f>
        <v>0</v>
      </c>
      <c r="F28" s="924">
        <f>IF(AND(B27&lt;B26,F27=F26,F27&gt;0),F26+(B26-B27)/K27,F27)</f>
        <v>0</v>
      </c>
      <c r="G28" s="924">
        <f>IF(AND(B27&lt;B26,G27=G26,G27&gt;0),G26+(B26-B27)/K27,G27)</f>
        <v>0</v>
      </c>
      <c r="H28" s="924">
        <f>IF(AND(B27&lt;B26,H27=H26,H27&gt;0),H26+(B26-B27)/K27,H27)</f>
        <v>0</v>
      </c>
      <c r="I28" s="925">
        <f>IF(AND(B27&lt;B26,I27=I26,I27&gt;0),I26+(B26-B27)/K27,I27)</f>
        <v>0</v>
      </c>
      <c r="J28" s="805"/>
      <c r="K28" s="976">
        <f>Wohngeld!A28</f>
        <v>0</v>
      </c>
      <c r="L28" s="977">
        <f>Wohngeld!B28</f>
        <v>0</v>
      </c>
      <c r="M28" s="522">
        <f>Wohngeld!C28</f>
        <v>0</v>
      </c>
      <c r="N28" s="522">
        <f>Wohngeld!D28</f>
        <v>0</v>
      </c>
      <c r="O28" s="522">
        <f>Wohngeld!E28</f>
        <v>0</v>
      </c>
      <c r="P28" s="522">
        <f>Wohngeld!F28</f>
        <v>0</v>
      </c>
      <c r="Q28" s="522">
        <f>Wohngeld!G28</f>
        <v>0</v>
      </c>
      <c r="R28" s="522">
        <f>Wohngeld!H28</f>
        <v>0</v>
      </c>
      <c r="S28" s="523">
        <f>Wohngeld!I28</f>
        <v>0</v>
      </c>
      <c r="T28" s="805"/>
      <c r="U28" s="984" t="str">
        <f>Kinderzuschlag!A190</f>
        <v>möglicher Kinderzuschlag</v>
      </c>
      <c r="V28" s="985">
        <f>Kinderzuschlag!B190</f>
        <v>0</v>
      </c>
      <c r="W28" s="831">
        <f>Kinderzuschlag!C190</f>
        <v>0</v>
      </c>
      <c r="X28" s="831">
        <f>Kinderzuschlag!D190</f>
        <v>0</v>
      </c>
      <c r="Y28" s="831">
        <f>Kinderzuschlag!E190</f>
        <v>0</v>
      </c>
      <c r="Z28" s="831">
        <f>Kinderzuschlag!F190</f>
        <v>0</v>
      </c>
      <c r="AA28" s="831">
        <f>Kinderzuschlag!G190</f>
        <v>0</v>
      </c>
      <c r="AB28" s="831">
        <f>Kinderzuschlag!H190</f>
        <v>0</v>
      </c>
      <c r="AC28" s="832">
        <f>Kinderzuschlag!I190</f>
        <v>0</v>
      </c>
      <c r="AD28" s="805"/>
      <c r="AE28" s="317">
        <f>ZuschussKV!A28</f>
        <v>0</v>
      </c>
      <c r="AF28" s="317">
        <f>ZuschussKV!B28</f>
        <v>0</v>
      </c>
      <c r="AG28" s="317">
        <f>ZuschussKV!C28</f>
        <v>0</v>
      </c>
      <c r="AH28" s="317">
        <f>ZuschussKV!D28</f>
        <v>0</v>
      </c>
      <c r="AI28" s="317">
        <f>ZuschussKV!E28</f>
        <v>0</v>
      </c>
      <c r="AJ28" s="317">
        <f>ZuschussKV!F28</f>
        <v>0</v>
      </c>
      <c r="AK28" s="317">
        <f>ZuschussKV!G28</f>
        <v>0</v>
      </c>
    </row>
    <row r="29" spans="1:37" ht="25.5">
      <c r="A29" s="975">
        <f>IF(B29&gt;0,Zusatzeingaben!A104,0)</f>
        <v>0</v>
      </c>
      <c r="B29" s="923">
        <f>SUM(C29:I29)</f>
        <v>0</v>
      </c>
      <c r="C29" s="913">
        <f>IF(Zusatzeingaben!$K$18&gt;0,C27,C28)</f>
        <v>0</v>
      </c>
      <c r="D29" s="924">
        <f>IF(Zusatzeingaben!$K$18&gt;0,D27,D28)</f>
        <v>0</v>
      </c>
      <c r="E29" s="924">
        <f>IF(Zusatzeingaben!$K$18&gt;0,E27,E28)</f>
        <v>0</v>
      </c>
      <c r="F29" s="924">
        <f>IF(Zusatzeingaben!$K$18&gt;0,F27,F28)</f>
        <v>0</v>
      </c>
      <c r="G29" s="924">
        <f>IF(Zusatzeingaben!$K$18&gt;0,G27,G28)</f>
        <v>0</v>
      </c>
      <c r="H29" s="924">
        <f>IF(Zusatzeingaben!$K$18&gt;0,H27,H28)</f>
        <v>0</v>
      </c>
      <c r="I29" s="925">
        <f>IF(Zusatzeingaben!$K$18&gt;0,I27,I28)</f>
        <v>0</v>
      </c>
      <c r="J29" s="805"/>
      <c r="K29" s="976">
        <f>Wohngeld!A29</f>
        <v>0</v>
      </c>
      <c r="L29" s="977">
        <f>Wohngeld!B29</f>
        <v>0</v>
      </c>
      <c r="M29" s="522">
        <f>Wohngeld!C29</f>
        <v>0</v>
      </c>
      <c r="N29" s="522">
        <f>Wohngeld!D29</f>
        <v>0</v>
      </c>
      <c r="O29" s="522">
        <f>Wohngeld!E29</f>
        <v>0</v>
      </c>
      <c r="P29" s="522">
        <f>Wohngeld!F29</f>
        <v>0</v>
      </c>
      <c r="Q29" s="522">
        <f>Wohngeld!G29</f>
        <v>0</v>
      </c>
      <c r="R29" s="522">
        <f>Wohngeld!H29</f>
        <v>0</v>
      </c>
      <c r="S29" s="523">
        <f>Wohngeld!I29</f>
        <v>0</v>
      </c>
      <c r="T29" s="805"/>
      <c r="U29" s="984" t="str">
        <f>Kinderzuschlag!A191</f>
        <v>Anspruch nach SGB II</v>
      </c>
      <c r="V29" s="986">
        <f>Kinderzuschlag!B191</f>
        <v>449</v>
      </c>
      <c r="W29" s="831">
        <f>Kinderzuschlag!C191</f>
        <v>0</v>
      </c>
      <c r="X29" s="831">
        <f>Kinderzuschlag!D191</f>
        <v>0</v>
      </c>
      <c r="Y29" s="831">
        <f>Kinderzuschlag!E191</f>
        <v>0</v>
      </c>
      <c r="Z29" s="831">
        <f>Kinderzuschlag!F191</f>
        <v>0</v>
      </c>
      <c r="AA29" s="831">
        <f>Kinderzuschlag!G191</f>
        <v>0</v>
      </c>
      <c r="AB29" s="831">
        <f>Kinderzuschlag!H191</f>
        <v>0</v>
      </c>
      <c r="AC29" s="832">
        <f>Kinderzuschlag!I191</f>
        <v>0</v>
      </c>
      <c r="AD29" s="805"/>
      <c r="AE29" s="1979" t="str">
        <f>ZuschussKV!A29</f>
        <v xml:space="preserve">   Berechnung Zuschuss zu Versicherungsbeiträgen nach § 26 SGB II</v>
      </c>
      <c r="AF29" s="1979"/>
      <c r="AG29" s="1979"/>
      <c r="AH29" s="1979"/>
      <c r="AI29" s="1979"/>
      <c r="AJ29" s="1979"/>
      <c r="AK29" s="1979"/>
    </row>
    <row r="30" spans="1:37" ht="17.25" hidden="1" customHeight="1">
      <c r="A30" s="979"/>
      <c r="B30" s="923">
        <f>Zusatzeingaben!C105</f>
        <v>0</v>
      </c>
      <c r="C30" s="913">
        <f>B30/B7</f>
        <v>0</v>
      </c>
      <c r="D30" s="924">
        <f>IF(D9=0,0,B30/B7)</f>
        <v>0</v>
      </c>
      <c r="E30" s="924">
        <f>IF(Zusatzeingaben!E33=0,0,B30/B7)</f>
        <v>0</v>
      </c>
      <c r="F30" s="924">
        <f>IF(Zusatzeingaben!F33=0,0,B30/B7)</f>
        <v>0</v>
      </c>
      <c r="G30" s="924">
        <f>IF(Zusatzeingaben!G33=0,0,B30/B7)</f>
        <v>0</v>
      </c>
      <c r="H30" s="924">
        <f>IF(Zusatzeingaben!H33=0,0,B30/B7)</f>
        <v>0</v>
      </c>
      <c r="I30" s="925">
        <f>IF(Zusatzeingaben!I33=0,0,B30/B7)</f>
        <v>0</v>
      </c>
      <c r="J30" s="805"/>
      <c r="K30" s="976">
        <f>Wohngeld!A30</f>
        <v>0</v>
      </c>
      <c r="L30" s="522">
        <f>Wohngeld!B30</f>
        <v>0</v>
      </c>
      <c r="M30" s="522">
        <f>Wohngeld!C30</f>
        <v>-300</v>
      </c>
      <c r="N30" s="522">
        <f>Wohngeld!D30</f>
        <v>-300</v>
      </c>
      <c r="O30" s="522">
        <f>Wohngeld!E30</f>
        <v>0</v>
      </c>
      <c r="P30" s="522">
        <f>Wohngeld!F30</f>
        <v>0</v>
      </c>
      <c r="Q30" s="522">
        <f>Wohngeld!G30</f>
        <v>0</v>
      </c>
      <c r="R30" s="522">
        <f>Wohngeld!H30</f>
        <v>0</v>
      </c>
      <c r="S30" s="523">
        <f>Wohngeld!I30</f>
        <v>0</v>
      </c>
      <c r="T30" s="805"/>
      <c r="U30" s="984" t="str">
        <f>Kinderzuschlag!A192</f>
        <v>möglicher Wohngeldanspruch</v>
      </c>
      <c r="V30" s="986">
        <f>Kinderzuschlag!B192</f>
        <v>0</v>
      </c>
      <c r="W30" s="831">
        <f>Kinderzuschlag!C192</f>
        <v>0</v>
      </c>
      <c r="X30" s="831">
        <f>Kinderzuschlag!D192</f>
        <v>0</v>
      </c>
      <c r="Y30" s="831">
        <f>Kinderzuschlag!E192</f>
        <v>0</v>
      </c>
      <c r="Z30" s="831">
        <f>Kinderzuschlag!F192</f>
        <v>0</v>
      </c>
      <c r="AA30" s="831">
        <f>Kinderzuschlag!G192</f>
        <v>0</v>
      </c>
      <c r="AB30" s="831">
        <f>Kinderzuschlag!H192</f>
        <v>0</v>
      </c>
      <c r="AC30" s="832">
        <f>Kinderzuschlag!I192</f>
        <v>0</v>
      </c>
      <c r="AD30" s="805"/>
      <c r="AE30" s="987">
        <f>ZuschussKV!A30</f>
        <v>0</v>
      </c>
      <c r="AF30" s="988">
        <f>ZuschussKV!B30</f>
        <v>0</v>
      </c>
      <c r="AG30" s="989" t="str">
        <f>ZuschussKV!C30</f>
        <v>Antragsteller</v>
      </c>
      <c r="AH30" s="989" t="str">
        <f>ZuschussKV!D30</f>
        <v>Partner(in)</v>
      </c>
      <c r="AI30" s="989" t="str">
        <f>ZuschussKV!E30</f>
        <v>Kind 1</v>
      </c>
      <c r="AJ30" s="989" t="str">
        <f>ZuschussKV!F30</f>
        <v>Kind 2</v>
      </c>
      <c r="AK30" s="990" t="str">
        <f>ZuschussKV!G30</f>
        <v>Kind 3</v>
      </c>
    </row>
    <row r="31" spans="1:37" ht="20.25" hidden="1" customHeight="1">
      <c r="A31" s="975"/>
      <c r="B31" s="923">
        <f>SUM(C31:I31)</f>
        <v>0</v>
      </c>
      <c r="C31" s="913">
        <f>C30</f>
        <v>0</v>
      </c>
      <c r="D31" s="924">
        <f>D30</f>
        <v>0</v>
      </c>
      <c r="E31" s="924">
        <f>IF(Zusatzeingaben!E8&gt;Zusatzeingaben!E2,E30*Zusatzeingaben!E14/30,IF(Zusatzeingaben!E18=25,E30*Zusatzeingaben!E10/30,E30))</f>
        <v>0</v>
      </c>
      <c r="F31" s="924">
        <f>IF(Zusatzeingaben!F8&gt;Zusatzeingaben!E2,F30*Zusatzeingaben!F14/30,IF(Zusatzeingaben!F18=25,F30*Zusatzeingaben!F10/30,F30))</f>
        <v>0</v>
      </c>
      <c r="G31" s="924">
        <f>IF(Zusatzeingaben!G8&gt;Zusatzeingaben!E2,G30*Zusatzeingaben!G14/30,IF(Zusatzeingaben!G18=25,G30*Zusatzeingaben!G10/30,G30))</f>
        <v>0</v>
      </c>
      <c r="H31" s="924">
        <f>IF(Zusatzeingaben!H8&gt;Zusatzeingaben!E2,H30*Zusatzeingaben!H14/30,IF(Zusatzeingaben!H18=25,H30*Zusatzeingaben!H10/30,H30))</f>
        <v>0</v>
      </c>
      <c r="I31" s="925">
        <f>IF(Zusatzeingaben!I8&gt;Zusatzeingaben!E2,I30*Zusatzeingaben!I14/30,IF(Zusatzeingaben!I18=25,I30*Zusatzeingaben!I10/30,I30))</f>
        <v>0</v>
      </c>
      <c r="J31" s="805">
        <f>COUNTIF(C22:I22,C22)</f>
        <v>7</v>
      </c>
      <c r="K31" s="976">
        <f>Wohngeld!A31</f>
        <v>0</v>
      </c>
      <c r="L31" s="977">
        <f>Wohngeld!B31</f>
        <v>0</v>
      </c>
      <c r="M31" s="522">
        <f>Wohngeld!C31</f>
        <v>0</v>
      </c>
      <c r="N31" s="522">
        <f>Wohngeld!D31</f>
        <v>0</v>
      </c>
      <c r="O31" s="522">
        <f>Wohngeld!E31</f>
        <v>0</v>
      </c>
      <c r="P31" s="522">
        <f>Wohngeld!F31</f>
        <v>0</v>
      </c>
      <c r="Q31" s="522">
        <f>Wohngeld!G31</f>
        <v>0</v>
      </c>
      <c r="R31" s="522">
        <f>Wohngeld!H31</f>
        <v>0</v>
      </c>
      <c r="S31" s="523">
        <f>Wohngeld!I31</f>
        <v>0</v>
      </c>
      <c r="T31" s="805"/>
      <c r="U31" s="991" t="str">
        <f>Kinderzuschlag!A193</f>
        <v xml:space="preserve">Anspruch auf Kinderzuschlag </v>
      </c>
      <c r="V31" s="992" t="str">
        <f>Kinderzuschlag!B193</f>
        <v>0,00 €</v>
      </c>
      <c r="W31" s="993">
        <f>Kinderzuschlag!C193</f>
        <v>0</v>
      </c>
      <c r="X31" s="1980" t="str">
        <f>Kinderzuschlag!D193</f>
        <v>kein KiZ - Einkommen der Eltern unterschreitet die Mindesteinkommensgrenze</v>
      </c>
      <c r="Y31" s="1980"/>
      <c r="Z31" s="1980"/>
      <c r="AA31" s="1980"/>
      <c r="AB31" s="1980"/>
      <c r="AC31" s="1980"/>
      <c r="AD31" s="805"/>
      <c r="AE31" s="994" t="str">
        <f>ZuschussKV!A31</f>
        <v>Private Krankenversicherung</v>
      </c>
      <c r="AF31" s="995">
        <f>ZuschussKV!B31</f>
        <v>0</v>
      </c>
      <c r="AG31" s="996">
        <f>ZuschussKV!C31</f>
        <v>0</v>
      </c>
      <c r="AH31" s="997">
        <f>ZuschussKV!D31</f>
        <v>0</v>
      </c>
      <c r="AI31" s="997">
        <f>ZuschussKV!E31</f>
        <v>0</v>
      </c>
      <c r="AJ31" s="997">
        <f>ZuschussKV!F31</f>
        <v>0</v>
      </c>
      <c r="AK31" s="998">
        <f>ZuschussKV!G31</f>
        <v>0</v>
      </c>
    </row>
    <row r="32" spans="1:37" ht="17.25" hidden="1">
      <c r="A32" s="979"/>
      <c r="B32" s="923">
        <f>SUM(C32:I32)</f>
        <v>0</v>
      </c>
      <c r="C32" s="913">
        <f>IF(AND(B31&lt;B30,C31=C30,C31&gt;0),C30+(B30-B31)/$J31,C31)</f>
        <v>0</v>
      </c>
      <c r="D32" s="913">
        <f>IF(AND(B31&lt;B30,C31=C30,C31&gt;0),D30+(B30-B31)/$J31,D31)</f>
        <v>0</v>
      </c>
      <c r="E32" s="913">
        <f>IF(AND(D31&lt;D30,E31=E30,E31&gt;0),E30+(D30-D31)/$J31,E31)</f>
        <v>0</v>
      </c>
      <c r="F32" s="913">
        <f>IF(AND(E31&lt;E30,F31=F30,F31&gt;0),F30+(E30-E31)/$J31,F31)</f>
        <v>0</v>
      </c>
      <c r="G32" s="913">
        <f>IF(AND(F31&lt;F30,G31=G30,G31&gt;0),G30+(F30-F31)/$J31,G31)</f>
        <v>0</v>
      </c>
      <c r="H32" s="913">
        <f>IF(AND(G31&lt;G30,H31=H30,H31&gt;0),H30+(G30-G31)/$J31,H31)</f>
        <v>0</v>
      </c>
      <c r="I32" s="913">
        <f>IF(AND(H31&lt;H30,I31=I30,I31&gt;0),I30+(H30-H31)/$J31,I31)</f>
        <v>0</v>
      </c>
      <c r="J32" s="805"/>
      <c r="K32" s="976">
        <f>Wohngeld!A32</f>
        <v>0</v>
      </c>
      <c r="L32" s="977">
        <f>Wohngeld!B32</f>
        <v>0</v>
      </c>
      <c r="M32" s="522">
        <f>Wohngeld!C32</f>
        <v>0</v>
      </c>
      <c r="N32" s="522">
        <f>Wohngeld!D32</f>
        <v>0</v>
      </c>
      <c r="O32" s="522">
        <f>Wohngeld!E32</f>
        <v>0</v>
      </c>
      <c r="P32" s="522">
        <f>Wohngeld!F32</f>
        <v>0</v>
      </c>
      <c r="Q32" s="522">
        <f>Wohngeld!G32</f>
        <v>0</v>
      </c>
      <c r="R32" s="522">
        <f>Wohngeld!H32</f>
        <v>0</v>
      </c>
      <c r="S32" s="523">
        <f>Wohngeld!I32</f>
        <v>0</v>
      </c>
      <c r="T32" s="805"/>
      <c r="U32" s="801">
        <f>Kinderzuschlag!A194</f>
        <v>0</v>
      </c>
      <c r="V32" s="801">
        <f>Kinderzuschlag!B194</f>
        <v>0</v>
      </c>
      <c r="W32" s="801">
        <f>Kinderzuschlag!C194</f>
        <v>0</v>
      </c>
      <c r="X32" s="801">
        <f>Kinderzuschlag!D194</f>
        <v>0</v>
      </c>
      <c r="Y32" s="801">
        <f>Kinderzuschlag!E194</f>
        <v>0</v>
      </c>
      <c r="Z32" s="801">
        <f>Kinderzuschlag!F194</f>
        <v>0</v>
      </c>
      <c r="AA32" s="801">
        <f>Kinderzuschlag!G194</f>
        <v>0</v>
      </c>
      <c r="AB32" s="801">
        <f>Kinderzuschlag!H194</f>
        <v>0</v>
      </c>
      <c r="AC32" s="801">
        <f>Kinderzuschlag!I194</f>
        <v>0</v>
      </c>
      <c r="AD32" s="805"/>
      <c r="AE32" s="999">
        <f>ZuschussKV!A32</f>
        <v>0</v>
      </c>
      <c r="AF32" s="1000">
        <f>ZuschussKV!B32</f>
        <v>0</v>
      </c>
      <c r="AG32" s="1001">
        <f>ZuschussKV!C32</f>
        <v>0</v>
      </c>
      <c r="AH32" s="1001">
        <f>ZuschussKV!D32</f>
        <v>0</v>
      </c>
      <c r="AI32" s="1001">
        <f>ZuschussKV!E32</f>
        <v>0</v>
      </c>
      <c r="AJ32" s="1001">
        <f>ZuschussKV!F32</f>
        <v>0</v>
      </c>
      <c r="AK32" s="1002">
        <f>ZuschussKV!G32</f>
        <v>0</v>
      </c>
    </row>
    <row r="33" spans="1:37" ht="17.25">
      <c r="A33" s="975">
        <f>IF(B33&gt;0,Zusatzeingaben!A105,0)</f>
        <v>0</v>
      </c>
      <c r="B33" s="923">
        <f>SUM(C33:I33)</f>
        <v>0</v>
      </c>
      <c r="C33" s="913">
        <f>IF(Zusatzeingaben!$K$18&gt;0,C31,C32)</f>
        <v>0</v>
      </c>
      <c r="D33" s="924">
        <f>IF(Zusatzeingaben!$K$18&gt;0,D31,D32)</f>
        <v>0</v>
      </c>
      <c r="E33" s="924">
        <f>IF(Zusatzeingaben!$K$18&gt;0,E31,E32)</f>
        <v>0</v>
      </c>
      <c r="F33" s="924">
        <f>IF(Zusatzeingaben!$K$18&gt;0,F31,F32)</f>
        <v>0</v>
      </c>
      <c r="G33" s="924">
        <f>IF(Zusatzeingaben!$K$18&gt;0,G31,G32)</f>
        <v>0</v>
      </c>
      <c r="H33" s="924">
        <f>IF(Zusatzeingaben!$K$18&gt;0,H31,H32)</f>
        <v>0</v>
      </c>
      <c r="I33" s="925">
        <f>IF(Zusatzeingaben!$K$18&gt;0,I31,I32)</f>
        <v>0</v>
      </c>
      <c r="J33" s="805"/>
      <c r="K33" s="976">
        <f>Wohngeld!A33</f>
        <v>0</v>
      </c>
      <c r="L33" s="977">
        <f>Wohngeld!B33</f>
        <v>0</v>
      </c>
      <c r="M33" s="522">
        <f>Wohngeld!C33</f>
        <v>0</v>
      </c>
      <c r="N33" s="522">
        <f>Wohngeld!D33</f>
        <v>0</v>
      </c>
      <c r="O33" s="522">
        <f>Wohngeld!E33</f>
        <v>0</v>
      </c>
      <c r="P33" s="522">
        <f>Wohngeld!F33</f>
        <v>0</v>
      </c>
      <c r="Q33" s="522">
        <f>Wohngeld!G33</f>
        <v>0</v>
      </c>
      <c r="R33" s="522">
        <f>Wohngeld!H33</f>
        <v>0</v>
      </c>
      <c r="S33" s="523">
        <f>Wohngeld!I33</f>
        <v>0</v>
      </c>
      <c r="T33" s="805"/>
      <c r="U33" s="1003">
        <f>Kinderzuschlag!A195</f>
        <v>0</v>
      </c>
      <c r="V33" s="1004">
        <f>Kinderzuschlag!B195</f>
        <v>0</v>
      </c>
      <c r="W33" s="869">
        <f>Kinderzuschlag!C195</f>
        <v>0</v>
      </c>
      <c r="X33" s="869">
        <f>Kinderzuschlag!D195</f>
        <v>0</v>
      </c>
      <c r="Y33" s="869">
        <f>Kinderzuschlag!E195</f>
        <v>0</v>
      </c>
      <c r="Z33" s="869">
        <f>Kinderzuschlag!F195</f>
        <v>0</v>
      </c>
      <c r="AA33" s="869">
        <f>Kinderzuschlag!G195</f>
        <v>0</v>
      </c>
      <c r="AB33" s="869">
        <f>Kinderzuschlag!H195</f>
        <v>0</v>
      </c>
      <c r="AC33" s="1005">
        <f>Kinderzuschlag!I195</f>
        <v>0</v>
      </c>
      <c r="AD33" s="805"/>
      <c r="AE33" s="1006" t="str">
        <f>ZuschussKV!A33</f>
        <v>halbierter Beitrag im Basistarif</v>
      </c>
      <c r="AF33" s="1007">
        <f>ZuschussKV!B33</f>
        <v>0</v>
      </c>
      <c r="AG33" s="1008">
        <f>ZuschussKV!C33</f>
        <v>0</v>
      </c>
      <c r="AH33" s="1008">
        <f>ZuschussKV!D33</f>
        <v>0</v>
      </c>
      <c r="AI33" s="1008">
        <f>ZuschussKV!E33</f>
        <v>0</v>
      </c>
      <c r="AJ33" s="1008">
        <f>ZuschussKV!F33</f>
        <v>0</v>
      </c>
      <c r="AK33" s="1009">
        <f>ZuschussKV!G33</f>
        <v>0</v>
      </c>
    </row>
    <row r="34" spans="1:37" ht="19.5" hidden="1">
      <c r="A34" s="979"/>
      <c r="B34" s="923">
        <f>Zusatzeingaben!C106</f>
        <v>0</v>
      </c>
      <c r="C34" s="913">
        <f>B34/B7</f>
        <v>0</v>
      </c>
      <c r="D34" s="924">
        <f>IF(D9=0,0,B34/B7)</f>
        <v>0</v>
      </c>
      <c r="E34" s="924">
        <f>IF(Zusatzeingaben!E33=0,0,B34/B7)</f>
        <v>0</v>
      </c>
      <c r="F34" s="924">
        <f>IF(Zusatzeingaben!F33=0,0,B34/B7)</f>
        <v>0</v>
      </c>
      <c r="G34" s="924">
        <f>IF(Zusatzeingaben!G33=0,0,B34/B7)</f>
        <v>0</v>
      </c>
      <c r="H34" s="924">
        <f>IF(Zusatzeingaben!H33=0,0,B34/B7)</f>
        <v>0</v>
      </c>
      <c r="I34" s="925">
        <f>IF(Zusatzeingaben!I33=0,0,B34/B7)</f>
        <v>0</v>
      </c>
      <c r="J34" s="805"/>
      <c r="K34" s="976">
        <f>Wohngeld!A34</f>
        <v>0</v>
      </c>
      <c r="L34" s="977">
        <f>Wohngeld!B34</f>
        <v>0</v>
      </c>
      <c r="M34" s="522">
        <f>Wohngeld!C34</f>
        <v>0</v>
      </c>
      <c r="N34" s="522">
        <f>Wohngeld!D34</f>
        <v>0</v>
      </c>
      <c r="O34" s="522">
        <f>Wohngeld!E34</f>
        <v>0</v>
      </c>
      <c r="P34" s="522">
        <f>Wohngeld!F34</f>
        <v>0</v>
      </c>
      <c r="Q34" s="522">
        <f>Wohngeld!G34</f>
        <v>0</v>
      </c>
      <c r="R34" s="522">
        <f>Wohngeld!H34</f>
        <v>0</v>
      </c>
      <c r="S34" s="523">
        <f>Wohngeld!I34</f>
        <v>0</v>
      </c>
      <c r="T34" s="805"/>
      <c r="U34" s="1010" t="str">
        <f>Kinderzuschlag!A196</f>
        <v>Kinderzuschlag</v>
      </c>
      <c r="V34" s="1011">
        <f>Kinderzuschlag!B196</f>
        <v>42552</v>
      </c>
      <c r="W34" s="1012">
        <f>Kinderzuschlag!C196</f>
        <v>160</v>
      </c>
      <c r="X34" s="1981">
        <f>Kinderzuschlag!D196</f>
        <v>0</v>
      </c>
      <c r="Y34" s="1981"/>
      <c r="Z34" s="1981"/>
      <c r="AA34" s="1981"/>
      <c r="AB34" s="1981"/>
      <c r="AC34" s="1981"/>
      <c r="AD34" s="805"/>
      <c r="AE34" s="863" t="str">
        <f>ZuschussKV!A34</f>
        <v>Beitrag in einem anderen Tarif</v>
      </c>
      <c r="AF34" s="518">
        <f>ZuschussKV!B34</f>
        <v>0</v>
      </c>
      <c r="AG34" s="1008">
        <f>ZuschussKV!C34</f>
        <v>0</v>
      </c>
      <c r="AH34" s="1008">
        <f>ZuschussKV!D34</f>
        <v>0</v>
      </c>
      <c r="AI34" s="1008">
        <f>ZuschussKV!E34</f>
        <v>0</v>
      </c>
      <c r="AJ34" s="1008">
        <f>ZuschussKV!F34</f>
        <v>0</v>
      </c>
      <c r="AK34" s="1009">
        <f>ZuschussKV!G34</f>
        <v>0</v>
      </c>
    </row>
    <row r="35" spans="1:37" ht="17.25" hidden="1">
      <c r="A35" s="975"/>
      <c r="B35" s="923">
        <f t="shared" ref="B35:B42" si="0">SUM(C35:I35)</f>
        <v>0</v>
      </c>
      <c r="C35" s="913">
        <f>C34</f>
        <v>0</v>
      </c>
      <c r="D35" s="924">
        <f>D34</f>
        <v>0</v>
      </c>
      <c r="E35" s="924">
        <f>IF(Zusatzeingaben!E8&gt;Zusatzeingaben!E2,E34*Zusatzeingaben!E14/30,IF(Zusatzeingaben!E18=25,E34*Zusatzeingaben!E10/30,E34))</f>
        <v>0</v>
      </c>
      <c r="F35" s="924">
        <f>IF(Zusatzeingaben!F8&gt;Zusatzeingaben!E2,F34*Zusatzeingaben!F14/30,IF(Zusatzeingaben!F18=25,F34*Zusatzeingaben!F10/30,F34))</f>
        <v>0</v>
      </c>
      <c r="G35" s="924">
        <f>IF(Zusatzeingaben!G8&gt;Zusatzeingaben!E2,G34*Zusatzeingaben!G14/30,IF(Zusatzeingaben!G18=25,G34*Zusatzeingaben!G10/30,G34))</f>
        <v>0</v>
      </c>
      <c r="H35" s="924">
        <f>IF(Zusatzeingaben!H8&gt;Zusatzeingaben!E2,H34*Zusatzeingaben!H14/30,IF(Zusatzeingaben!H18=25,H34*Zusatzeingaben!H10/30,H34))</f>
        <v>0</v>
      </c>
      <c r="I35" s="925">
        <f>IF(Zusatzeingaben!I8&gt;Zusatzeingaben!E2,I34*Zusatzeingaben!I14/30,IF(Zusatzeingaben!I18=25,I34*Zusatzeingaben!I10/30,I34))</f>
        <v>0</v>
      </c>
      <c r="J35" s="805"/>
      <c r="K35" s="976">
        <f>Wohngeld!A35</f>
        <v>0</v>
      </c>
      <c r="L35" s="977">
        <f>Wohngeld!B35</f>
        <v>0</v>
      </c>
      <c r="M35" s="522">
        <f>Wohngeld!C35</f>
        <v>0</v>
      </c>
      <c r="N35" s="522">
        <f>Wohngeld!D35</f>
        <v>0</v>
      </c>
      <c r="O35" s="522">
        <f>Wohngeld!E35</f>
        <v>0</v>
      </c>
      <c r="P35" s="522">
        <f>Wohngeld!F35</f>
        <v>0</v>
      </c>
      <c r="Q35" s="522">
        <f>Wohngeld!G35</f>
        <v>0</v>
      </c>
      <c r="R35" s="522">
        <f>Wohngeld!H35</f>
        <v>0</v>
      </c>
      <c r="S35" s="523">
        <f>Wohngeld!I35</f>
        <v>0</v>
      </c>
      <c r="T35" s="805"/>
      <c r="U35" s="801">
        <f>Kinderzuschlag!A197</f>
        <v>0</v>
      </c>
      <c r="V35" s="1013">
        <f>Kinderzuschlag!B197</f>
        <v>42736</v>
      </c>
      <c r="W35" s="1014">
        <f>Kinderzuschlag!C197</f>
        <v>170</v>
      </c>
      <c r="X35" s="801">
        <f>Kinderzuschlag!D197</f>
        <v>0</v>
      </c>
      <c r="Y35" s="801">
        <f>Kinderzuschlag!E197</f>
        <v>0</v>
      </c>
      <c r="Z35" s="801">
        <f>Kinderzuschlag!F197</f>
        <v>0</v>
      </c>
      <c r="AA35" s="801">
        <f>Kinderzuschlag!G197</f>
        <v>0</v>
      </c>
      <c r="AB35" s="801">
        <f>Kinderzuschlag!H197</f>
        <v>0</v>
      </c>
      <c r="AC35" s="801">
        <f>Kinderzuschlag!I197</f>
        <v>0</v>
      </c>
      <c r="AD35" s="805"/>
      <c r="AE35" s="863" t="str">
        <f>ZuschussKV!A35</f>
        <v>maßgebender Betrag</v>
      </c>
      <c r="AF35" s="1015">
        <f>ZuschussKV!B35</f>
        <v>0</v>
      </c>
      <c r="AG35" s="1016">
        <f>ZuschussKV!C35</f>
        <v>0</v>
      </c>
      <c r="AH35" s="1016">
        <f>ZuschussKV!D35</f>
        <v>0</v>
      </c>
      <c r="AI35" s="1016">
        <f>ZuschussKV!E35</f>
        <v>0</v>
      </c>
      <c r="AJ35" s="1016">
        <f>ZuschussKV!F35</f>
        <v>0</v>
      </c>
      <c r="AK35" s="1017">
        <f>ZuschussKV!G35</f>
        <v>0</v>
      </c>
    </row>
    <row r="36" spans="1:37" ht="17.25" hidden="1">
      <c r="A36" s="979"/>
      <c r="B36" s="923">
        <f t="shared" si="0"/>
        <v>0</v>
      </c>
      <c r="C36" s="913">
        <f>IF(AND(B35&lt;B34,C35=C34,C35&gt;0),C34+(B34-B35)/K35,C35)</f>
        <v>0</v>
      </c>
      <c r="D36" s="924">
        <f>IF(AND(B35&lt;B34,D35=D34,D35&gt;0),D34+(B34-B35)/K35,D35)</f>
        <v>0</v>
      </c>
      <c r="E36" s="924">
        <f>IF(AND(B35&lt;B34,E35=E34,E35&gt;0),E34+(B34-B35)/K35,E35)</f>
        <v>0</v>
      </c>
      <c r="F36" s="924">
        <f>IF(AND(B35&lt;B34,F35=F34,F35&gt;0),F34+(B34-B35)/K35,F35)</f>
        <v>0</v>
      </c>
      <c r="G36" s="924">
        <f>IF(AND(B35&lt;B34,G35=G34,G35&gt;0),G34+(B34-B35)/K35,G35)</f>
        <v>0</v>
      </c>
      <c r="H36" s="924">
        <f>IF(AND(B35&lt;B34,H35=H34,H35&gt;0),H34+(B34-B35)/K35,H35)</f>
        <v>0</v>
      </c>
      <c r="I36" s="925">
        <f>IF(AND(B35&lt;B34,I35=I34,I35&gt;0),I34+(B34-B35)/K35,I35)</f>
        <v>0</v>
      </c>
      <c r="J36" s="805"/>
      <c r="K36" s="976">
        <f>Wohngeld!A36</f>
        <v>0</v>
      </c>
      <c r="L36" s="977">
        <f>Wohngeld!B36</f>
        <v>0</v>
      </c>
      <c r="M36" s="522">
        <f>Wohngeld!C36</f>
        <v>0</v>
      </c>
      <c r="N36" s="522">
        <f>Wohngeld!D36</f>
        <v>0</v>
      </c>
      <c r="O36" s="522">
        <f>Wohngeld!E36</f>
        <v>0</v>
      </c>
      <c r="P36" s="522">
        <f>Wohngeld!F36</f>
        <v>0</v>
      </c>
      <c r="Q36" s="522">
        <f>Wohngeld!G36</f>
        <v>0</v>
      </c>
      <c r="R36" s="522">
        <f>Wohngeld!H36</f>
        <v>0</v>
      </c>
      <c r="S36" s="523">
        <f>Wohngeld!I36</f>
        <v>0</v>
      </c>
      <c r="T36" s="805"/>
      <c r="U36" s="801">
        <f>Kinderzuschlag!A198</f>
        <v>0</v>
      </c>
      <c r="V36" s="1018">
        <f>Kinderzuschlag!B198</f>
        <v>43647</v>
      </c>
      <c r="W36" s="1014">
        <f>Kinderzuschlag!C198</f>
        <v>185</v>
      </c>
      <c r="X36" s="801">
        <f>Kinderzuschlag!D198</f>
        <v>0</v>
      </c>
      <c r="Y36" s="801">
        <f>Kinderzuschlag!E198</f>
        <v>0</v>
      </c>
      <c r="Z36" s="801">
        <f>Kinderzuschlag!F198</f>
        <v>0</v>
      </c>
      <c r="AA36" s="801">
        <f>Kinderzuschlag!G198</f>
        <v>0</v>
      </c>
      <c r="AB36" s="801">
        <f>Kinderzuschlag!H198</f>
        <v>0</v>
      </c>
      <c r="AC36" s="801">
        <f>Kinderzuschlag!I198</f>
        <v>0</v>
      </c>
      <c r="AD36" s="805"/>
      <c r="AE36" s="863">
        <f>ZuschussKV!A36</f>
        <v>0</v>
      </c>
      <c r="AF36" s="1015">
        <f>ZuschussKV!B36</f>
        <v>0</v>
      </c>
      <c r="AG36" s="1016">
        <f>ZuschussKV!C36</f>
        <v>0</v>
      </c>
      <c r="AH36" s="1016">
        <f>ZuschussKV!D36</f>
        <v>0</v>
      </c>
      <c r="AI36" s="1016">
        <f>ZuschussKV!E36</f>
        <v>0</v>
      </c>
      <c r="AJ36" s="1016">
        <f>ZuschussKV!F36</f>
        <v>0</v>
      </c>
      <c r="AK36" s="1017">
        <f>ZuschussKV!G36</f>
        <v>0</v>
      </c>
    </row>
    <row r="37" spans="1:37" ht="19.5">
      <c r="A37" s="975">
        <f>IF(B37&gt;0,Zusatzeingaben!A106,0)</f>
        <v>0</v>
      </c>
      <c r="B37" s="923">
        <f t="shared" si="0"/>
        <v>0</v>
      </c>
      <c r="C37" s="913">
        <f>IF(Zusatzeingaben!$K$18&gt;0,C35,C36)</f>
        <v>0</v>
      </c>
      <c r="D37" s="924">
        <f>IF(Zusatzeingaben!$K$18&gt;0,D35,D36)</f>
        <v>0</v>
      </c>
      <c r="E37" s="924">
        <f>IF(Zusatzeingaben!$K$18&gt;0,E35,E36)</f>
        <v>0</v>
      </c>
      <c r="F37" s="924">
        <f>IF(Zusatzeingaben!$K$18&gt;0,F35,F36)</f>
        <v>0</v>
      </c>
      <c r="G37" s="924">
        <f>IF(Zusatzeingaben!$K$18&gt;0,G35,G36)</f>
        <v>0</v>
      </c>
      <c r="H37" s="924">
        <f>IF(Zusatzeingaben!$K$18&gt;0,H35,H36)</f>
        <v>0</v>
      </c>
      <c r="I37" s="925">
        <f>IF(Zusatzeingaben!$K$18&gt;0,I35,I36)</f>
        <v>0</v>
      </c>
      <c r="J37" s="805"/>
      <c r="K37" s="976">
        <f>Wohngeld!A37</f>
        <v>0</v>
      </c>
      <c r="L37" s="977">
        <f>Wohngeld!B37</f>
        <v>0</v>
      </c>
      <c r="M37" s="522">
        <f>Wohngeld!C37</f>
        <v>0</v>
      </c>
      <c r="N37" s="522">
        <f>Wohngeld!D37</f>
        <v>0</v>
      </c>
      <c r="O37" s="522">
        <f>Wohngeld!E37</f>
        <v>0</v>
      </c>
      <c r="P37" s="522">
        <f>Wohngeld!F37</f>
        <v>0</v>
      </c>
      <c r="Q37" s="522">
        <f>Wohngeld!G37</f>
        <v>0</v>
      </c>
      <c r="R37" s="522">
        <f>Wohngeld!H37</f>
        <v>0</v>
      </c>
      <c r="S37" s="523">
        <f>Wohngeld!I37</f>
        <v>0</v>
      </c>
      <c r="T37" s="805"/>
      <c r="U37" s="1010" t="str">
        <f>Kinderzuschlag!A193</f>
        <v xml:space="preserve">Anspruch auf Kinderzuschlag </v>
      </c>
      <c r="V37" s="1011" t="str">
        <f>Kinderzuschlag!B193</f>
        <v>0,00 €</v>
      </c>
      <c r="W37" s="1012">
        <f>Kinderzuschlag!C199</f>
        <v>185</v>
      </c>
      <c r="X37" s="1982" t="str">
        <f>Kinderzuschlag!D193</f>
        <v>kein KiZ - Einkommen der Eltern unterschreitet die Mindesteinkommensgrenze</v>
      </c>
      <c r="Y37" s="1982"/>
      <c r="Z37" s="1982"/>
      <c r="AA37" s="1982"/>
      <c r="AB37" s="1982"/>
      <c r="AC37" s="1982"/>
      <c r="AD37" s="805"/>
      <c r="AE37" s="1019" t="str">
        <f>ZuschussKV!A37</f>
        <v>Zuschuss zur privaten Krankenversicherung</v>
      </c>
      <c r="AF37" s="1015">
        <f>ZuschussKV!B37</f>
        <v>0</v>
      </c>
      <c r="AG37" s="1020">
        <f>ZuschussKV!C37</f>
        <v>0</v>
      </c>
      <c r="AH37" s="1020">
        <f>ZuschussKV!D37</f>
        <v>0</v>
      </c>
      <c r="AI37" s="1020">
        <f>ZuschussKV!E37</f>
        <v>0</v>
      </c>
      <c r="AJ37" s="1020">
        <f>ZuschussKV!F37</f>
        <v>0</v>
      </c>
      <c r="AK37" s="1021">
        <f>ZuschussKV!G37</f>
        <v>0</v>
      </c>
    </row>
    <row r="38" spans="1:37" ht="17.25" hidden="1">
      <c r="A38" s="975"/>
      <c r="B38" s="923">
        <f t="shared" si="0"/>
        <v>0</v>
      </c>
      <c r="C38" s="913">
        <f>Zusatzeingaben!C114</f>
        <v>0</v>
      </c>
      <c r="D38" s="924">
        <f>Zusatzeingaben!D114</f>
        <v>0</v>
      </c>
      <c r="E38" s="924">
        <f>Zusatzeingaben!E114</f>
        <v>0</v>
      </c>
      <c r="F38" s="924">
        <f>Zusatzeingaben!F114</f>
        <v>0</v>
      </c>
      <c r="G38" s="924">
        <f>Zusatzeingaben!G114</f>
        <v>0</v>
      </c>
      <c r="H38" s="924">
        <f>Zusatzeingaben!H114</f>
        <v>0</v>
      </c>
      <c r="I38" s="925">
        <f>Zusatzeingaben!I114</f>
        <v>0</v>
      </c>
      <c r="J38" s="805"/>
      <c r="K38" s="1022">
        <f>Wohngeld!A38</f>
        <v>0</v>
      </c>
      <c r="L38" s="1023">
        <f>Wohngeld!B38</f>
        <v>0</v>
      </c>
      <c r="M38" s="1024">
        <f>Wohngeld!C38</f>
        <v>0</v>
      </c>
      <c r="N38" s="1024">
        <f>Wohngeld!D38</f>
        <v>0</v>
      </c>
      <c r="O38" s="1024">
        <f>Wohngeld!E38</f>
        <v>0</v>
      </c>
      <c r="P38" s="1024">
        <f>Wohngeld!F38</f>
        <v>0</v>
      </c>
      <c r="Q38" s="1024">
        <f>Wohngeld!G38</f>
        <v>0</v>
      </c>
      <c r="R38" s="1024">
        <f>Wohngeld!H38</f>
        <v>0</v>
      </c>
      <c r="S38" s="1025">
        <f>Wohngeld!I38</f>
        <v>0</v>
      </c>
      <c r="T38" s="805"/>
      <c r="AD38" s="805"/>
      <c r="AE38" s="400">
        <f>ZuschussKV!A38</f>
        <v>0</v>
      </c>
      <c r="AF38" s="1026">
        <f>ZuschussKV!B38</f>
        <v>0</v>
      </c>
      <c r="AG38" s="1027">
        <f>ZuschussKV!C38</f>
        <v>0</v>
      </c>
      <c r="AH38" s="1027">
        <f>ZuschussKV!D38</f>
        <v>0</v>
      </c>
      <c r="AI38" s="1027">
        <f>ZuschussKV!E38</f>
        <v>0</v>
      </c>
      <c r="AJ38" s="1027">
        <f>ZuschussKV!F38</f>
        <v>0</v>
      </c>
      <c r="AK38" s="1028">
        <f>ZuschussKV!G38</f>
        <v>0</v>
      </c>
    </row>
    <row r="39" spans="1:37" ht="17.25" hidden="1">
      <c r="A39" s="975"/>
      <c r="B39" s="923">
        <f t="shared" si="0"/>
        <v>0</v>
      </c>
      <c r="C39" s="913">
        <f>C38</f>
        <v>0</v>
      </c>
      <c r="D39" s="924">
        <f>D38</f>
        <v>0</v>
      </c>
      <c r="E39" s="924">
        <f>IF(Zusatzeingaben!E8&gt;Zusatzeingaben!$E$2,E38*Zusatzeingaben!E14/30,IF(Zusatzeingaben!E18=25,E38*Zusatzeingaben!E10/30,E38))</f>
        <v>0</v>
      </c>
      <c r="F39" s="924">
        <f>IF(Zusatzeingaben!F8&gt;Zusatzeingaben!$E$2,F38*Zusatzeingaben!F14/30,IF(Zusatzeingaben!F18=25,F38*Zusatzeingaben!F10/30,F38))</f>
        <v>0</v>
      </c>
      <c r="G39" s="924">
        <f>IF(Zusatzeingaben!G8&gt;Zusatzeingaben!$E$2,G38*Zusatzeingaben!G14/30,IF(Zusatzeingaben!G18=25,G38*Zusatzeingaben!G10/30,G38))</f>
        <v>0</v>
      </c>
      <c r="H39" s="924">
        <f>IF(Zusatzeingaben!H8&gt;Zusatzeingaben!$E$2,H38*Zusatzeingaben!H14/30,IF(Zusatzeingaben!H18=25,H38*Zusatzeingaben!H10/30,H38))</f>
        <v>0</v>
      </c>
      <c r="I39" s="925">
        <f>IF(Zusatzeingaben!I8&gt;Zusatzeingaben!$E$2,I38*Zusatzeingaben!I14/30,IF(Zusatzeingaben!I18=25,I38*Zusatzeingaben!I10/30,I38))</f>
        <v>0</v>
      </c>
      <c r="J39" s="805"/>
      <c r="K39" s="1029" t="str">
        <f>Wohngeld!A39</f>
        <v>Jahreseinkommen</v>
      </c>
      <c r="L39" s="1030">
        <f>Wohngeld!B39</f>
        <v>0</v>
      </c>
      <c r="M39" s="1031">
        <f>Wohngeld!C39</f>
        <v>0</v>
      </c>
      <c r="N39" s="1031">
        <f>Wohngeld!D39</f>
        <v>0</v>
      </c>
      <c r="O39" s="1031">
        <f>Wohngeld!E39</f>
        <v>0</v>
      </c>
      <c r="P39" s="1031">
        <f>Wohngeld!F39</f>
        <v>0</v>
      </c>
      <c r="Q39" s="1031">
        <f>Wohngeld!G39</f>
        <v>0</v>
      </c>
      <c r="R39" s="1031">
        <f>Wohngeld!H39</f>
        <v>0</v>
      </c>
      <c r="S39" s="1032">
        <f>Wohngeld!I39</f>
        <v>0</v>
      </c>
      <c r="T39" s="805"/>
      <c r="AD39" s="805"/>
      <c r="AE39" s="1033" t="str">
        <f>ZuschussKV!A39</f>
        <v>Private Pflegeversicherung</v>
      </c>
      <c r="AF39" s="1034">
        <f>ZuschussKV!B39</f>
        <v>0</v>
      </c>
      <c r="AG39" s="1035">
        <f>ZuschussKV!C39</f>
        <v>0</v>
      </c>
      <c r="AH39" s="1035">
        <f>ZuschussKV!D39</f>
        <v>0</v>
      </c>
      <c r="AI39" s="1035">
        <f>ZuschussKV!E39</f>
        <v>0</v>
      </c>
      <c r="AJ39" s="1035">
        <f>ZuschussKV!F39</f>
        <v>0</v>
      </c>
      <c r="AK39" s="1036">
        <f>ZuschussKV!G39</f>
        <v>0</v>
      </c>
    </row>
    <row r="40" spans="1:37" ht="17.25" hidden="1">
      <c r="A40" s="975"/>
      <c r="B40" s="923">
        <f t="shared" si="0"/>
        <v>0</v>
      </c>
      <c r="C40" s="913">
        <f>IF(AND(B39&lt;B38,C39=C38,C39&gt;0),C38+(B38-B39)/K39,C39)</f>
        <v>0</v>
      </c>
      <c r="D40" s="924">
        <f>IF(AND(B39&lt;B38,D39=D38,D39&gt;0),D38+(B38-B39)/K39,D39)</f>
        <v>0</v>
      </c>
      <c r="E40" s="924">
        <f>IF(AND(B39&lt;B38,E39=E38,E39&gt;0),E38+(B38-B39)/K39,E39)</f>
        <v>0</v>
      </c>
      <c r="F40" s="924">
        <f>IF(AND(B39&lt;B38,F39=F38,F39&gt;0),F38+(B38-B39)/K39,F39)</f>
        <v>0</v>
      </c>
      <c r="G40" s="924">
        <f>IF(AND(B39&lt;B38,G39=G38,G39&gt;0),G38+(B38-B39)/K39,G39)</f>
        <v>0</v>
      </c>
      <c r="H40" s="924">
        <f>IF(AND(B39&lt;B38,H39=H38,H39&gt;0),H38+(B38-B39)/K39,H39)</f>
        <v>0</v>
      </c>
      <c r="I40" s="925">
        <f>IF(AND(B39&lt;B38,I39=I38,I39&gt;0),I38+(B38-B39)/K39,I39)</f>
        <v>0</v>
      </c>
      <c r="J40" s="805"/>
      <c r="K40" s="1037">
        <f>Wohngeld!A40</f>
        <v>0</v>
      </c>
      <c r="L40" s="637">
        <f>Wohngeld!B40</f>
        <v>0</v>
      </c>
      <c r="M40" s="637">
        <f>Wohngeld!C40</f>
        <v>0</v>
      </c>
      <c r="N40" s="637">
        <f>Wohngeld!D40</f>
        <v>0</v>
      </c>
      <c r="O40" s="637">
        <f>Wohngeld!E40</f>
        <v>0</v>
      </c>
      <c r="P40" s="637">
        <f>Wohngeld!F40</f>
        <v>0</v>
      </c>
      <c r="Q40" s="637">
        <f>Wohngeld!G40</f>
        <v>0</v>
      </c>
      <c r="R40" s="637">
        <f>Wohngeld!H40</f>
        <v>0</v>
      </c>
      <c r="S40" s="638">
        <f>Wohngeld!I40</f>
        <v>0</v>
      </c>
      <c r="T40" s="805"/>
      <c r="AD40" s="805"/>
      <c r="AE40" s="933" t="str">
        <f>ZuschussKV!A40</f>
        <v>halbierter Höchstbeitrag</v>
      </c>
      <c r="AF40" s="1015">
        <f>ZuschussKV!B40</f>
        <v>0</v>
      </c>
      <c r="AG40" s="1016">
        <f>ZuschussKV!C40</f>
        <v>0</v>
      </c>
      <c r="AH40" s="1016">
        <f>ZuschussKV!D40</f>
        <v>0</v>
      </c>
      <c r="AI40" s="1016">
        <f>ZuschussKV!E40</f>
        <v>0</v>
      </c>
      <c r="AJ40" s="1016">
        <f>ZuschussKV!F40</f>
        <v>0</v>
      </c>
      <c r="AK40" s="1017">
        <f>ZuschussKV!G40</f>
        <v>0</v>
      </c>
    </row>
    <row r="41" spans="1:37" ht="17.25" hidden="1">
      <c r="A41" s="979"/>
      <c r="B41" s="923">
        <f t="shared" si="0"/>
        <v>0</v>
      </c>
      <c r="C41" s="913">
        <f>IF(Zusatzeingaben!$B$107&gt;0,C40,Zusatzeingaben!C114)</f>
        <v>0</v>
      </c>
      <c r="D41" s="924">
        <f>IF(Zusatzeingaben!$B$107&gt;0,D40,Zusatzeingaben!D114)</f>
        <v>0</v>
      </c>
      <c r="E41" s="924">
        <f>IF(Zusatzeingaben!$B$107&gt;0,E40,Zusatzeingaben!E114)</f>
        <v>0</v>
      </c>
      <c r="F41" s="924">
        <f>IF(Zusatzeingaben!$B$107&gt;0,F40,Zusatzeingaben!F114)</f>
        <v>0</v>
      </c>
      <c r="G41" s="924">
        <f>IF(Zusatzeingaben!$B$107&gt;0,G40,Zusatzeingaben!G114)</f>
        <v>0</v>
      </c>
      <c r="H41" s="924">
        <f>IF(Zusatzeingaben!$B$107&gt;0,H40,Zusatzeingaben!H114)</f>
        <v>0</v>
      </c>
      <c r="I41" s="925">
        <f>IF(Zusatzeingaben!$B$107&gt;0,I40,Zusatzeingaben!I114)</f>
        <v>0</v>
      </c>
      <c r="J41" s="805"/>
      <c r="K41" s="976">
        <f>Wohngeld!A41</f>
        <v>0</v>
      </c>
      <c r="L41" s="977">
        <f>Wohngeld!B41</f>
        <v>0</v>
      </c>
      <c r="M41" s="522">
        <f>Wohngeld!C41</f>
        <v>0</v>
      </c>
      <c r="N41" s="522">
        <f>Wohngeld!D41</f>
        <v>0</v>
      </c>
      <c r="O41" s="522">
        <f>Wohngeld!E41</f>
        <v>0</v>
      </c>
      <c r="P41" s="522">
        <f>Wohngeld!F41</f>
        <v>0</v>
      </c>
      <c r="Q41" s="522">
        <f>Wohngeld!G41</f>
        <v>0</v>
      </c>
      <c r="R41" s="522">
        <f>Wohngeld!H41</f>
        <v>0</v>
      </c>
      <c r="S41" s="523">
        <f>Wohngeld!I41</f>
        <v>0</v>
      </c>
      <c r="T41" s="805"/>
      <c r="AD41" s="805"/>
      <c r="AE41" s="933" t="str">
        <f>ZuschussKV!A41</f>
        <v>tatsächlicher Pflegeversicherungsbeitrag</v>
      </c>
      <c r="AF41" s="1015">
        <f>ZuschussKV!B41</f>
        <v>0</v>
      </c>
      <c r="AG41" s="1016">
        <f>ZuschussKV!C41</f>
        <v>0</v>
      </c>
      <c r="AH41" s="1016">
        <f>ZuschussKV!D41</f>
        <v>0</v>
      </c>
      <c r="AI41" s="1016">
        <f>ZuschussKV!E41</f>
        <v>0</v>
      </c>
      <c r="AJ41" s="1016">
        <f>ZuschussKV!F41</f>
        <v>0</v>
      </c>
      <c r="AK41" s="1017">
        <f>ZuschussKV!G41</f>
        <v>0</v>
      </c>
    </row>
    <row r="42" spans="1:37" ht="17.25">
      <c r="A42" s="975">
        <f>IF(B42&gt;0,"./. Kostenanteil für Haushaltsstrom",0)</f>
        <v>0</v>
      </c>
      <c r="B42" s="923">
        <f t="shared" si="0"/>
        <v>0</v>
      </c>
      <c r="C42" s="913">
        <f>IF(AND(Zusatzeingaben!$K$18&gt;0,Zusatzeingaben!$B$107&gt;0),C39,C41)</f>
        <v>0</v>
      </c>
      <c r="D42" s="924">
        <f>IF(AND(Zusatzeingaben!$K$18&gt;0,Zusatzeingaben!$B$107&gt;0),D39,D41)</f>
        <v>0</v>
      </c>
      <c r="E42" s="924">
        <f>IF(AND(Zusatzeingaben!$K$18&gt;0,Zusatzeingaben!$B$107&gt;0),E39,E41)</f>
        <v>0</v>
      </c>
      <c r="F42" s="924">
        <f>IF(AND(Zusatzeingaben!$K$18&gt;0,Zusatzeingaben!$B$107&gt;0),F39,F41)</f>
        <v>0</v>
      </c>
      <c r="G42" s="924">
        <f>IF(AND(Zusatzeingaben!$K$18&gt;0,Zusatzeingaben!$B$107&gt;0),G39,G41)</f>
        <v>0</v>
      </c>
      <c r="H42" s="924">
        <f>IF(AND(Zusatzeingaben!$K$18&gt;0,Zusatzeingaben!$B$107&gt;0),H39,H41)</f>
        <v>0</v>
      </c>
      <c r="I42" s="925">
        <f>IF(AND(Zusatzeingaben!$K$18&gt;0,Zusatzeingaben!$B$107&gt;0),I39,I41)</f>
        <v>0</v>
      </c>
      <c r="J42" s="805"/>
      <c r="K42" s="976">
        <f>Wohngeld!A42</f>
        <v>0</v>
      </c>
      <c r="L42" s="977">
        <f>Wohngeld!B42</f>
        <v>0</v>
      </c>
      <c r="M42" s="522">
        <f>Wohngeld!C42</f>
        <v>0</v>
      </c>
      <c r="N42" s="522">
        <f>Wohngeld!D42</f>
        <v>0</v>
      </c>
      <c r="O42" s="522">
        <f>Wohngeld!E42</f>
        <v>0</v>
      </c>
      <c r="P42" s="522">
        <f>Wohngeld!F42</f>
        <v>0</v>
      </c>
      <c r="Q42" s="522">
        <f>Wohngeld!G42</f>
        <v>0</v>
      </c>
      <c r="R42" s="522">
        <f>Wohngeld!H42</f>
        <v>0</v>
      </c>
      <c r="S42" s="523">
        <f>Wohngeld!I42</f>
        <v>0</v>
      </c>
      <c r="T42" s="805"/>
      <c r="AD42" s="805"/>
      <c r="AE42" s="933" t="str">
        <f>ZuschussKV!A42</f>
        <v>maßgebender Betrag</v>
      </c>
      <c r="AF42" s="1015">
        <f>ZuschussKV!B42</f>
        <v>0</v>
      </c>
      <c r="AG42" s="1016">
        <f>ZuschussKV!C42</f>
        <v>0</v>
      </c>
      <c r="AH42" s="1016">
        <f>ZuschussKV!D42</f>
        <v>0</v>
      </c>
      <c r="AI42" s="1016">
        <f>ZuschussKV!E42</f>
        <v>0</v>
      </c>
      <c r="AJ42" s="1016">
        <f>ZuschussKV!F42</f>
        <v>0</v>
      </c>
      <c r="AK42" s="1017">
        <f>ZuschussKV!G42</f>
        <v>0</v>
      </c>
    </row>
    <row r="43" spans="1:37" ht="17.25" hidden="1">
      <c r="A43" s="979"/>
      <c r="B43" s="923">
        <f>Zusatzeingaben!C115</f>
        <v>0</v>
      </c>
      <c r="C43" s="913">
        <f>B43/B7</f>
        <v>0</v>
      </c>
      <c r="D43" s="924">
        <f>IF(D9=0,0,B43/B7)</f>
        <v>0</v>
      </c>
      <c r="E43" s="924">
        <f>IF(Zusatzeingaben!E33=0,0,B43/B7)</f>
        <v>0</v>
      </c>
      <c r="F43" s="924">
        <f>IF(Zusatzeingaben!F33=0,0,B43/B7)</f>
        <v>0</v>
      </c>
      <c r="G43" s="924">
        <f>IF(Zusatzeingaben!G33=0,0,B43/B7)</f>
        <v>0</v>
      </c>
      <c r="H43" s="924">
        <f>IF(Zusatzeingaben!H33=0,0,B43/B7)</f>
        <v>0</v>
      </c>
      <c r="I43" s="925">
        <f>IF(Zusatzeingaben!I33=0,0,B43/B7)</f>
        <v>0</v>
      </c>
      <c r="J43" s="805"/>
      <c r="K43" s="976">
        <f>Wohngeld!A43</f>
        <v>0</v>
      </c>
      <c r="L43" s="977">
        <f>Wohngeld!B43</f>
        <v>0</v>
      </c>
      <c r="M43" s="522">
        <f>Wohngeld!C43</f>
        <v>0</v>
      </c>
      <c r="N43" s="522">
        <f>Wohngeld!D43</f>
        <v>0</v>
      </c>
      <c r="O43" s="522">
        <f>Wohngeld!E43</f>
        <v>0</v>
      </c>
      <c r="P43" s="522">
        <f>Wohngeld!F43</f>
        <v>0</v>
      </c>
      <c r="Q43" s="522">
        <f>Wohngeld!G43</f>
        <v>0</v>
      </c>
      <c r="R43" s="522">
        <f>Wohngeld!H43</f>
        <v>0</v>
      </c>
      <c r="S43" s="523">
        <f>Wohngeld!I43</f>
        <v>0</v>
      </c>
      <c r="T43" s="805"/>
      <c r="AD43" s="805"/>
      <c r="AE43" s="1038">
        <f>ZuschussKV!A43</f>
        <v>0</v>
      </c>
      <c r="AF43" s="1015">
        <f>ZuschussKV!B43</f>
        <v>0</v>
      </c>
      <c r="AG43" s="1016">
        <f>ZuschussKV!C43</f>
        <v>0</v>
      </c>
      <c r="AH43" s="1016">
        <f>ZuschussKV!D43</f>
        <v>0</v>
      </c>
      <c r="AI43" s="1016">
        <f>ZuschussKV!E43</f>
        <v>0</v>
      </c>
      <c r="AJ43" s="1016">
        <f>ZuschussKV!F43</f>
        <v>0</v>
      </c>
      <c r="AK43" s="1017">
        <f>ZuschussKV!G43</f>
        <v>0</v>
      </c>
    </row>
    <row r="44" spans="1:37" ht="17.25" hidden="1">
      <c r="A44" s="975"/>
      <c r="B44" s="923">
        <f>SUM(C44:I44)</f>
        <v>0</v>
      </c>
      <c r="C44" s="913">
        <f>C43</f>
        <v>0</v>
      </c>
      <c r="D44" s="924">
        <f>D43</f>
        <v>0</v>
      </c>
      <c r="E44" s="924">
        <f>IF(Zusatzeingaben!E8&gt;Zusatzeingaben!E2,E43*Zusatzeingaben!E14/30,IF(Zusatzeingaben!E18=25,E43*Zusatzeingaben!E10/30,E43))</f>
        <v>0</v>
      </c>
      <c r="F44" s="924">
        <f>IF(Zusatzeingaben!F8&gt;Zusatzeingaben!E2,F43*Zusatzeingaben!F14/30,IF(Zusatzeingaben!F18=25,F43*Zusatzeingaben!F10/30,F43))</f>
        <v>0</v>
      </c>
      <c r="G44" s="924">
        <f>IF(Zusatzeingaben!G8&gt;Zusatzeingaben!E2,G43*Zusatzeingaben!G14/30,IF(Zusatzeingaben!G18=25,G43*Zusatzeingaben!G10/30,G43))</f>
        <v>0</v>
      </c>
      <c r="H44" s="924">
        <f>IF(Zusatzeingaben!H8&gt;Zusatzeingaben!E2,H43*Zusatzeingaben!H14/30,IF(Zusatzeingaben!H18=25,H43*Zusatzeingaben!H10/30,H43))</f>
        <v>0</v>
      </c>
      <c r="I44" s="925">
        <f>IF(Zusatzeingaben!I8&gt;Zusatzeingaben!E2,I43*Zusatzeingaben!I14/30,IF(Zusatzeingaben!I18=25,I43*Zusatzeingaben!I10/30,I43))</f>
        <v>0</v>
      </c>
      <c r="J44" s="805">
        <f>COUNTIF(C22:I22,C22)</f>
        <v>7</v>
      </c>
      <c r="K44" s="976">
        <f>Wohngeld!A44</f>
        <v>0</v>
      </c>
      <c r="L44" s="522">
        <f>Wohngeld!B44</f>
        <v>0</v>
      </c>
      <c r="M44" s="522">
        <f>Wohngeld!C44</f>
        <v>0</v>
      </c>
      <c r="N44" s="522">
        <f>Wohngeld!D44</f>
        <v>0</v>
      </c>
      <c r="O44" s="522">
        <f>Wohngeld!E44</f>
        <v>0</v>
      </c>
      <c r="P44" s="522">
        <f>Wohngeld!F44</f>
        <v>0</v>
      </c>
      <c r="Q44" s="522">
        <f>Wohngeld!G44</f>
        <v>0</v>
      </c>
      <c r="R44" s="522">
        <f>Wohngeld!H44</f>
        <v>0</v>
      </c>
      <c r="S44" s="523">
        <f>Wohngeld!I44</f>
        <v>0</v>
      </c>
      <c r="T44" s="805"/>
      <c r="AD44" s="805"/>
      <c r="AE44" s="1038">
        <f>ZuschussKV!A44</f>
        <v>0</v>
      </c>
      <c r="AF44" s="1015">
        <f>ZuschussKV!B44</f>
        <v>0</v>
      </c>
      <c r="AG44" s="1039">
        <f>ZuschussKV!C44</f>
        <v>0</v>
      </c>
      <c r="AH44" s="1039">
        <f>ZuschussKV!D44</f>
        <v>0</v>
      </c>
      <c r="AI44" s="1039">
        <f>ZuschussKV!E44</f>
        <v>0</v>
      </c>
      <c r="AJ44" s="1039">
        <f>ZuschussKV!F44</f>
        <v>0</v>
      </c>
      <c r="AK44" s="1040">
        <f>ZuschussKV!G44</f>
        <v>0</v>
      </c>
    </row>
    <row r="45" spans="1:37" ht="17.25" hidden="1">
      <c r="A45" s="979"/>
      <c r="B45" s="923">
        <f>SUM(C45:I45)</f>
        <v>0</v>
      </c>
      <c r="C45" s="913">
        <f t="shared" ref="C45:I45" si="1">IF(AND(B44&lt;B43,C44=C43,C44&gt;0),C43+(B43-B44)/$J44,C44)</f>
        <v>0</v>
      </c>
      <c r="D45" s="913">
        <f t="shared" si="1"/>
        <v>0</v>
      </c>
      <c r="E45" s="913">
        <f t="shared" si="1"/>
        <v>0</v>
      </c>
      <c r="F45" s="913">
        <f t="shared" si="1"/>
        <v>0</v>
      </c>
      <c r="G45" s="913">
        <f t="shared" si="1"/>
        <v>0</v>
      </c>
      <c r="H45" s="913">
        <f t="shared" si="1"/>
        <v>0</v>
      </c>
      <c r="I45" s="913">
        <f t="shared" si="1"/>
        <v>0</v>
      </c>
      <c r="J45" s="805"/>
      <c r="K45" s="1022">
        <f>Wohngeld!A45</f>
        <v>0</v>
      </c>
      <c r="L45" s="1023">
        <f>Wohngeld!B45</f>
        <v>0</v>
      </c>
      <c r="M45" s="1024">
        <f>Wohngeld!C45</f>
        <v>0</v>
      </c>
      <c r="N45" s="1024">
        <f>Wohngeld!D45</f>
        <v>0</v>
      </c>
      <c r="O45" s="1024">
        <f>Wohngeld!E45</f>
        <v>0</v>
      </c>
      <c r="P45" s="1024">
        <f>Wohngeld!F45</f>
        <v>0</v>
      </c>
      <c r="Q45" s="1024">
        <f>Wohngeld!G45</f>
        <v>0</v>
      </c>
      <c r="R45" s="1024">
        <f>Wohngeld!H45</f>
        <v>0</v>
      </c>
      <c r="S45" s="1025">
        <f>Wohngeld!I45</f>
        <v>0</v>
      </c>
      <c r="T45" s="805"/>
      <c r="AD45" s="805"/>
      <c r="AE45" s="1041" t="str">
        <f>ZuschussKV!A45</f>
        <v>Zuschuss zur privaten Pflegeversicherung</v>
      </c>
      <c r="AF45" s="1042">
        <f>ZuschussKV!B45</f>
        <v>0</v>
      </c>
      <c r="AG45" s="1043">
        <f>ZuschussKV!C45</f>
        <v>0</v>
      </c>
      <c r="AH45" s="1043">
        <f>ZuschussKV!D45</f>
        <v>0</v>
      </c>
      <c r="AI45" s="1043">
        <f>ZuschussKV!E45</f>
        <v>0</v>
      </c>
      <c r="AJ45" s="1043">
        <f>ZuschussKV!F45</f>
        <v>0</v>
      </c>
      <c r="AK45" s="1044">
        <f>ZuschussKV!G45</f>
        <v>0</v>
      </c>
    </row>
    <row r="46" spans="1:37" ht="17.25">
      <c r="A46" s="975">
        <f>IF(B46&gt;0,"Heizkosten",0)</f>
        <v>0</v>
      </c>
      <c r="B46" s="923">
        <f>SUM(C46:I46)</f>
        <v>0</v>
      </c>
      <c r="C46" s="913">
        <f>IF(Zusatzeingaben!$K$18&gt;0,C44,C45)</f>
        <v>0</v>
      </c>
      <c r="D46" s="924">
        <f>IF(Zusatzeingaben!$K$18&gt;0,D44,D45)</f>
        <v>0</v>
      </c>
      <c r="E46" s="924">
        <f>IF(Zusatzeingaben!$K$18&gt;0,E44,E45)</f>
        <v>0</v>
      </c>
      <c r="F46" s="924">
        <f>IF(Zusatzeingaben!$K$18&gt;0,F44,F45)</f>
        <v>0</v>
      </c>
      <c r="G46" s="924">
        <f>IF(Zusatzeingaben!$K$18&gt;0,G44,G45)</f>
        <v>0</v>
      </c>
      <c r="H46" s="924">
        <f>IF(Zusatzeingaben!$K$18&gt;0,H44,H45)</f>
        <v>0</v>
      </c>
      <c r="I46" s="925">
        <f>IF(Zusatzeingaben!$K$18&gt;0,I44,I45)</f>
        <v>0</v>
      </c>
      <c r="J46" s="805"/>
      <c r="K46" s="1045" t="str">
        <f>Wohngeld!A46</f>
        <v>verbleibendes Jahreseinkommen</v>
      </c>
      <c r="L46" s="1046">
        <f>Wohngeld!B46</f>
        <v>0</v>
      </c>
      <c r="M46" s="507">
        <f>Wohngeld!C46</f>
        <v>0</v>
      </c>
      <c r="N46" s="507">
        <f>Wohngeld!D46</f>
        <v>0</v>
      </c>
      <c r="O46" s="507">
        <f>Wohngeld!E46</f>
        <v>0</v>
      </c>
      <c r="P46" s="507">
        <f>Wohngeld!F46</f>
        <v>0</v>
      </c>
      <c r="Q46" s="507">
        <f>Wohngeld!G46</f>
        <v>0</v>
      </c>
      <c r="R46" s="507">
        <f>Wohngeld!H46</f>
        <v>0</v>
      </c>
      <c r="S46" s="508">
        <f>Wohngeld!I46</f>
        <v>0</v>
      </c>
      <c r="T46" s="805"/>
      <c r="U46" s="1047" t="s">
        <v>253</v>
      </c>
      <c r="AD46" s="805"/>
      <c r="AE46" s="1048">
        <f>ZuschussKV!A46</f>
        <v>0</v>
      </c>
      <c r="AF46" s="1049">
        <f>ZuschussKV!B46</f>
        <v>0</v>
      </c>
      <c r="AG46" s="1976" t="str">
        <f>ZuschussKV!C46</f>
        <v>bei Berücksichtigung der Beiträge als Einkommen siehe auch Arbeitsblatt Berechnung!</v>
      </c>
      <c r="AH46" s="1976"/>
      <c r="AI46" s="1976"/>
      <c r="AJ46" s="1976"/>
      <c r="AK46" s="1976"/>
    </row>
    <row r="47" spans="1:37" ht="17.25">
      <c r="A47" s="1050" t="s">
        <v>2165</v>
      </c>
      <c r="B47" s="1051">
        <f t="shared" ref="B47:I47" si="2">B24-B29+B33+B37-B42+B46</f>
        <v>0</v>
      </c>
      <c r="C47" s="1051">
        <f t="shared" si="2"/>
        <v>0</v>
      </c>
      <c r="D47" s="1052">
        <f t="shared" si="2"/>
        <v>0</v>
      </c>
      <c r="E47" s="1052">
        <f t="shared" si="2"/>
        <v>0</v>
      </c>
      <c r="F47" s="1052">
        <f t="shared" si="2"/>
        <v>0</v>
      </c>
      <c r="G47" s="1052">
        <f t="shared" si="2"/>
        <v>0</v>
      </c>
      <c r="H47" s="1052">
        <f t="shared" si="2"/>
        <v>0</v>
      </c>
      <c r="I47" s="1053">
        <f t="shared" si="2"/>
        <v>0</v>
      </c>
      <c r="J47" s="805"/>
      <c r="K47" s="976">
        <f>Wohngeld!A47</f>
        <v>0</v>
      </c>
      <c r="L47" s="977">
        <f>Wohngeld!B47</f>
        <v>0</v>
      </c>
      <c r="M47" s="522">
        <f>Wohngeld!C47</f>
        <v>0</v>
      </c>
      <c r="N47" s="522">
        <f>Wohngeld!D47</f>
        <v>0</v>
      </c>
      <c r="O47" s="522">
        <f>Wohngeld!E47</f>
        <v>0</v>
      </c>
      <c r="P47" s="522">
        <f>Wohngeld!F47</f>
        <v>0</v>
      </c>
      <c r="Q47" s="522">
        <f>Wohngeld!G47</f>
        <v>0</v>
      </c>
      <c r="R47" s="522">
        <f>Wohngeld!H47</f>
        <v>0</v>
      </c>
      <c r="S47" s="523">
        <f>Wohngeld!I47</f>
        <v>0</v>
      </c>
      <c r="T47" s="805"/>
      <c r="AD47" s="805"/>
      <c r="AE47" s="1054" t="str">
        <f>ZuschussKV!A47</f>
        <v>Gesetzliche Krankenversicherung</v>
      </c>
      <c r="AF47" s="1055">
        <f>ZuschussKV!B47</f>
        <v>0</v>
      </c>
      <c r="AG47" s="1056">
        <f>ZuschussKV!C47</f>
        <v>0</v>
      </c>
      <c r="AH47" s="1056">
        <f>ZuschussKV!D47</f>
        <v>0</v>
      </c>
      <c r="AI47" s="1056">
        <f>ZuschussKV!E47</f>
        <v>0</v>
      </c>
      <c r="AJ47" s="1056">
        <f>ZuschussKV!F47</f>
        <v>0</v>
      </c>
      <c r="AK47" s="1057">
        <f>ZuschussKV!G47</f>
        <v>0</v>
      </c>
    </row>
    <row r="48" spans="1:37" ht="17.25" customHeight="1">
      <c r="A48" s="1058">
        <f>IF(B49&gt;0,"Sonstiger Bedarf",0)</f>
        <v>0</v>
      </c>
      <c r="B48" s="913"/>
      <c r="C48" s="914"/>
      <c r="D48" s="915"/>
      <c r="E48" s="915"/>
      <c r="F48" s="915"/>
      <c r="G48" s="915"/>
      <c r="H48" s="915"/>
      <c r="I48" s="916"/>
      <c r="J48" s="805"/>
      <c r="K48" s="976">
        <f>Wohngeld!A48</f>
        <v>0</v>
      </c>
      <c r="L48" s="977">
        <f>Wohngeld!B48</f>
        <v>0</v>
      </c>
      <c r="M48" s="522">
        <f>Wohngeld!C48</f>
        <v>0</v>
      </c>
      <c r="N48" s="522">
        <f>Wohngeld!D48</f>
        <v>0</v>
      </c>
      <c r="O48" s="522">
        <f>Wohngeld!E48</f>
        <v>0</v>
      </c>
      <c r="P48" s="522">
        <f>Wohngeld!F48</f>
        <v>0</v>
      </c>
      <c r="Q48" s="522">
        <f>Wohngeld!G48</f>
        <v>0</v>
      </c>
      <c r="R48" s="522">
        <f>Wohngeld!H48</f>
        <v>0</v>
      </c>
      <c r="S48" s="523">
        <f>Wohngeld!I48</f>
        <v>0</v>
      </c>
      <c r="T48" s="805"/>
      <c r="AD48" s="805"/>
      <c r="AE48" s="1059">
        <f>ZuschussKV!A48</f>
        <v>0</v>
      </c>
      <c r="AF48" s="1060">
        <f>ZuschussKV!B48</f>
        <v>0</v>
      </c>
      <c r="AG48" s="1061">
        <f>ZuschussKV!C48</f>
        <v>0</v>
      </c>
      <c r="AH48" s="1061">
        <f>ZuschussKV!D48</f>
        <v>0</v>
      </c>
      <c r="AI48" s="1061">
        <f>ZuschussKV!E48</f>
        <v>0</v>
      </c>
      <c r="AJ48" s="1061">
        <f>ZuschussKV!F48</f>
        <v>0</v>
      </c>
      <c r="AK48" s="1062">
        <f>ZuschussKV!G48</f>
        <v>0</v>
      </c>
    </row>
    <row r="49" spans="1:37" ht="16.5" customHeight="1">
      <c r="A49" s="1063">
        <f>IF(B49&gt;0,Zusatzeingaben!A117,0)</f>
        <v>0</v>
      </c>
      <c r="B49" s="1064">
        <f>SUM(C49:I49)</f>
        <v>0</v>
      </c>
      <c r="C49" s="1065">
        <f>Zusatzeingaben!C117</f>
        <v>0</v>
      </c>
      <c r="D49" s="1066">
        <f>Zusatzeingaben!D117</f>
        <v>0</v>
      </c>
      <c r="E49" s="1066">
        <f>Zusatzeingaben!E117</f>
        <v>0</v>
      </c>
      <c r="F49" s="1066">
        <f>Zusatzeingaben!F117</f>
        <v>0</v>
      </c>
      <c r="G49" s="1066">
        <f>Zusatzeingaben!G117</f>
        <v>0</v>
      </c>
      <c r="H49" s="1066">
        <f>Zusatzeingaben!H117</f>
        <v>0</v>
      </c>
      <c r="I49" s="1067">
        <f>Zusatzeingaben!I117</f>
        <v>0</v>
      </c>
      <c r="J49" s="805"/>
      <c r="K49" s="976">
        <f>Wohngeld!A49</f>
        <v>0</v>
      </c>
      <c r="L49" s="977">
        <f>Wohngeld!B49</f>
        <v>0</v>
      </c>
      <c r="M49" s="522">
        <f>Wohngeld!C49</f>
        <v>0</v>
      </c>
      <c r="N49" s="522">
        <f>Wohngeld!D49</f>
        <v>0</v>
      </c>
      <c r="O49" s="522">
        <f>Wohngeld!E49</f>
        <v>0</v>
      </c>
      <c r="P49" s="522">
        <f>Wohngeld!F49</f>
        <v>0</v>
      </c>
      <c r="Q49" s="522">
        <f>Wohngeld!G49</f>
        <v>0</v>
      </c>
      <c r="R49" s="522">
        <f>Wohngeld!H49</f>
        <v>0</v>
      </c>
      <c r="S49" s="523">
        <f>Wohngeld!I49</f>
        <v>0</v>
      </c>
      <c r="T49" s="805"/>
      <c r="AD49" s="805"/>
      <c r="AE49" s="863" t="str">
        <f>ZuschussKV!A49</f>
        <v>Freiwilliger Beitrag zur gesetzlichen Krankenversicherung</v>
      </c>
      <c r="AF49" s="1015">
        <f>ZuschussKV!B49</f>
        <v>0</v>
      </c>
      <c r="AG49" s="1016">
        <f>ZuschussKV!C49</f>
        <v>0</v>
      </c>
      <c r="AH49" s="1016">
        <f>ZuschussKV!D49</f>
        <v>0</v>
      </c>
      <c r="AI49" s="1016">
        <f>ZuschussKV!E49</f>
        <v>0</v>
      </c>
      <c r="AJ49" s="1016">
        <f>ZuschussKV!F49</f>
        <v>0</v>
      </c>
      <c r="AK49" s="1017">
        <f>ZuschussKV!G49</f>
        <v>0</v>
      </c>
    </row>
    <row r="50" spans="1:37" ht="23.25" customHeight="1">
      <c r="A50" s="1068" t="s">
        <v>2166</v>
      </c>
      <c r="B50" s="1069">
        <f>SUM(C50:I50)</f>
        <v>449</v>
      </c>
      <c r="C50" s="1069">
        <f t="shared" ref="C50:I50" si="3">C11+C13+C14+C15+C16+C17+C18+C19+C47+C49</f>
        <v>449</v>
      </c>
      <c r="D50" s="1070">
        <f t="shared" si="3"/>
        <v>0</v>
      </c>
      <c r="E50" s="1070">
        <f t="shared" si="3"/>
        <v>0</v>
      </c>
      <c r="F50" s="1070">
        <f t="shared" si="3"/>
        <v>0</v>
      </c>
      <c r="G50" s="1070">
        <f t="shared" si="3"/>
        <v>0</v>
      </c>
      <c r="H50" s="1070">
        <f t="shared" si="3"/>
        <v>0</v>
      </c>
      <c r="I50" s="1071">
        <f t="shared" si="3"/>
        <v>0</v>
      </c>
      <c r="J50" s="805"/>
      <c r="K50" s="1022">
        <f>Wohngeld!A50</f>
        <v>0</v>
      </c>
      <c r="L50" s="1023">
        <f>Wohngeld!B50</f>
        <v>0</v>
      </c>
      <c r="M50" s="1024">
        <f>Wohngeld!C50</f>
        <v>0</v>
      </c>
      <c r="N50" s="1024">
        <f>Wohngeld!D50</f>
        <v>0</v>
      </c>
      <c r="O50" s="1024">
        <f>Wohngeld!E50</f>
        <v>0</v>
      </c>
      <c r="P50" s="1024">
        <f>Wohngeld!F50</f>
        <v>0</v>
      </c>
      <c r="Q50" s="1024">
        <f>Wohngeld!G50</f>
        <v>0</v>
      </c>
      <c r="R50" s="1024">
        <f>Wohngeld!H50</f>
        <v>0</v>
      </c>
      <c r="S50" s="1025">
        <f>Wohngeld!I50</f>
        <v>0</v>
      </c>
      <c r="T50" s="805"/>
      <c r="AD50" s="805"/>
      <c r="AE50" s="863" t="str">
        <f>ZuschussKV!A50</f>
        <v>Pflichtbeitrag zur gesetzlichen Krankenversicherung</v>
      </c>
      <c r="AF50" s="1015">
        <f>ZuschussKV!B50</f>
        <v>0</v>
      </c>
      <c r="AG50" s="1016">
        <f>ZuschussKV!C50</f>
        <v>0</v>
      </c>
      <c r="AH50" s="1016">
        <f>ZuschussKV!D50</f>
        <v>0</v>
      </c>
      <c r="AI50" s="1016">
        <f>ZuschussKV!E50</f>
        <v>0</v>
      </c>
      <c r="AJ50" s="1016">
        <f>ZuschussKV!F50</f>
        <v>0</v>
      </c>
      <c r="AK50" s="1017">
        <f>ZuschussKV!G50</f>
        <v>0</v>
      </c>
    </row>
    <row r="51" spans="1:37" ht="15" customHeight="1">
      <c r="C51" s="966">
        <f>VLOOKUP(E3,Bedarfssätze!B7:C14,2)</f>
        <v>391</v>
      </c>
      <c r="D51" s="966">
        <f>VLOOKUP(E3,Bedarfssätze!E7:F14,2)</f>
        <v>353</v>
      </c>
      <c r="E51" s="966">
        <f>VLOOKUP(E3,Bedarfssätze!B26:C33,2)</f>
        <v>296</v>
      </c>
      <c r="F51" s="966">
        <f>VLOOKUP(E3,Bedarfssätze!E26:F33,2)</f>
        <v>261</v>
      </c>
      <c r="G51" s="966">
        <f>VLOOKUP(E3,Bedarfssätze!H26:I33,2)</f>
        <v>229</v>
      </c>
      <c r="H51" s="966">
        <f>VLOOKUP(E3,Bedarfssätze!H7:I14,2)</f>
        <v>313</v>
      </c>
      <c r="J51" s="805"/>
      <c r="K51" s="1072" t="str">
        <f>Wohngeld!A51</f>
        <v>Gesamteinkommen</v>
      </c>
      <c r="L51" s="1073">
        <f>Wohngeld!B51</f>
        <v>0</v>
      </c>
      <c r="M51" s="1074">
        <f>Wohngeld!C51</f>
        <v>0</v>
      </c>
      <c r="N51" s="1074">
        <f>Wohngeld!D51</f>
        <v>0</v>
      </c>
      <c r="O51" s="1074">
        <f>Wohngeld!E51</f>
        <v>0</v>
      </c>
      <c r="P51" s="1074">
        <f>Wohngeld!F51</f>
        <v>0</v>
      </c>
      <c r="Q51" s="1074">
        <f>Wohngeld!G51</f>
        <v>0</v>
      </c>
      <c r="R51" s="1074">
        <f>Wohngeld!H51</f>
        <v>0</v>
      </c>
      <c r="S51" s="1075">
        <f>Wohngeld!I51</f>
        <v>0</v>
      </c>
      <c r="T51" s="805"/>
      <c r="AD51" s="805"/>
      <c r="AE51" s="863">
        <f>ZuschussKV!A51</f>
        <v>0</v>
      </c>
      <c r="AF51" s="1076">
        <f>ZuschussKV!B51</f>
        <v>0</v>
      </c>
      <c r="AG51" s="522">
        <f>ZuschussKV!C51</f>
        <v>0</v>
      </c>
      <c r="AH51" s="522">
        <f>ZuschussKV!D51</f>
        <v>0</v>
      </c>
      <c r="AI51" s="522">
        <f>ZuschussKV!E51</f>
        <v>0</v>
      </c>
      <c r="AJ51" s="522">
        <f>ZuschussKV!F51</f>
        <v>0</v>
      </c>
      <c r="AK51" s="523">
        <f>ZuschussKV!G51</f>
        <v>0</v>
      </c>
    </row>
    <row r="52" spans="1:37" ht="23.1" customHeight="1">
      <c r="A52" s="1977" t="s">
        <v>175</v>
      </c>
      <c r="B52" s="1977"/>
      <c r="C52" s="1977"/>
      <c r="D52" s="1977"/>
      <c r="E52" s="1977"/>
      <c r="F52" s="1977"/>
      <c r="G52" s="1977"/>
      <c r="H52" s="1977"/>
      <c r="I52" s="1977"/>
      <c r="J52" s="805"/>
      <c r="K52" s="1077" t="str">
        <f>Wohngeld!A52</f>
        <v>monatlich</v>
      </c>
      <c r="L52" s="1078">
        <f>Wohngeld!B52</f>
        <v>0</v>
      </c>
      <c r="M52" s="961">
        <f>Wohngeld!C52</f>
        <v>0</v>
      </c>
      <c r="N52" s="961">
        <f>Wohngeld!D52</f>
        <v>0</v>
      </c>
      <c r="O52" s="961">
        <f>Wohngeld!E52</f>
        <v>0</v>
      </c>
      <c r="P52" s="961">
        <f>Wohngeld!F52</f>
        <v>0</v>
      </c>
      <c r="Q52" s="961">
        <f>Wohngeld!G52</f>
        <v>0</v>
      </c>
      <c r="R52" s="961">
        <f>Wohngeld!H52</f>
        <v>0</v>
      </c>
      <c r="S52" s="962">
        <f>Wohngeld!I52</f>
        <v>0</v>
      </c>
      <c r="T52" s="805"/>
      <c r="AD52" s="805"/>
      <c r="AE52" s="863">
        <f>ZuschussKV!A52</f>
        <v>0</v>
      </c>
      <c r="AF52" s="1076">
        <f>ZuschussKV!B52</f>
        <v>0</v>
      </c>
      <c r="AG52" s="522">
        <f>ZuschussKV!C52</f>
        <v>0</v>
      </c>
      <c r="AH52" s="522">
        <f>ZuschussKV!D52</f>
        <v>0</v>
      </c>
      <c r="AI52" s="522">
        <f>ZuschussKV!E52</f>
        <v>0</v>
      </c>
      <c r="AJ52" s="522">
        <f>ZuschussKV!F52</f>
        <v>0</v>
      </c>
      <c r="AK52" s="523">
        <f>ZuschussKV!G52</f>
        <v>0</v>
      </c>
    </row>
    <row r="53" spans="1:37" ht="17.25" customHeight="1">
      <c r="A53" s="836"/>
      <c r="B53" s="1079" t="s">
        <v>246</v>
      </c>
      <c r="C53" s="1079" t="str">
        <f>IF(Zusatzeingaben!C6&lt;&gt;0,Zusatzeingaben!C6,Zusatzeingaben!C4)</f>
        <v>Antragsteller</v>
      </c>
      <c r="D53" s="1079" t="str">
        <f>IF(Zusatzeingaben!D6&lt;&gt;0,Zusatzeingaben!D6,Zusatzeingaben!D4)</f>
        <v>Partner(in)</v>
      </c>
      <c r="E53" s="1079" t="str">
        <f>IF(Zusatzeingaben!E6&lt;&gt;0,Zusatzeingaben!E6,Zusatzeingaben!E4)</f>
        <v>Kind 1</v>
      </c>
      <c r="F53" s="1079" t="str">
        <f>IF(Zusatzeingaben!F6&lt;&gt;0,Zusatzeingaben!F6,Zusatzeingaben!F4)</f>
        <v>Kind 2</v>
      </c>
      <c r="G53" s="1079" t="str">
        <f>IF(Zusatzeingaben!G6&lt;&gt;0,Zusatzeingaben!G6,Zusatzeingaben!G4)</f>
        <v>Kind 3</v>
      </c>
      <c r="H53" s="1079" t="str">
        <f>IF(Zusatzeingaben!H6&lt;&gt;0,Zusatzeingaben!H6,Zusatzeingaben!H4)</f>
        <v>Kind 4</v>
      </c>
      <c r="I53" s="838" t="str">
        <f>IF(Zusatzeingaben!I6&lt;&gt;0,Zusatzeingaben!I6,Zusatzeingaben!I4)</f>
        <v>Kind 5</v>
      </c>
      <c r="J53" s="805"/>
      <c r="K53" s="1080">
        <f>Wohngeld!A53</f>
        <v>0</v>
      </c>
      <c r="L53" s="1080">
        <f>Wohngeld!B53</f>
        <v>0</v>
      </c>
      <c r="M53" s="1080">
        <f>Wohngeld!C53</f>
        <v>0</v>
      </c>
      <c r="N53" s="1080">
        <f>Wohngeld!D53</f>
        <v>0</v>
      </c>
      <c r="O53" s="1080">
        <f>Wohngeld!E53</f>
        <v>0</v>
      </c>
      <c r="P53" s="1080">
        <f>Wohngeld!F53</f>
        <v>0</v>
      </c>
      <c r="Q53" s="1080">
        <f>Wohngeld!G53</f>
        <v>0</v>
      </c>
      <c r="R53" s="1080">
        <f>Wohngeld!H53</f>
        <v>0</v>
      </c>
      <c r="S53" s="1080">
        <f>Wohngeld!I53</f>
        <v>0</v>
      </c>
      <c r="T53" s="805"/>
      <c r="AD53" s="805"/>
      <c r="AE53" s="1081" t="str">
        <f>ZuschussKV!A53</f>
        <v>Zuschuss zur gesetzlichen Krankenversicherung</v>
      </c>
      <c r="AF53" s="1082">
        <f>ZuschussKV!B53</f>
        <v>0</v>
      </c>
      <c r="AG53" s="1083">
        <f>ZuschussKV!C53</f>
        <v>0</v>
      </c>
      <c r="AH53" s="1083">
        <f>ZuschussKV!D53</f>
        <v>0</v>
      </c>
      <c r="AI53" s="1083">
        <f>ZuschussKV!E53</f>
        <v>0</v>
      </c>
      <c r="AJ53" s="1083">
        <f>ZuschussKV!F53</f>
        <v>0</v>
      </c>
      <c r="AK53" s="1084">
        <f>ZuschussKV!G53</f>
        <v>0</v>
      </c>
    </row>
    <row r="54" spans="1:37" ht="23.25" hidden="1">
      <c r="A54" s="1058" t="s">
        <v>2167</v>
      </c>
      <c r="B54" s="1085">
        <f t="shared" ref="B54:B68" si="4">SUM(C54:I54)</f>
        <v>0</v>
      </c>
      <c r="C54" s="1086">
        <f>Zusatzeingaben!C140</f>
        <v>0</v>
      </c>
      <c r="D54" s="1086">
        <f>Zusatzeingaben!D140</f>
        <v>0</v>
      </c>
      <c r="E54" s="1086">
        <f>Zusatzeingaben!E140</f>
        <v>0</v>
      </c>
      <c r="F54" s="1086">
        <f>Zusatzeingaben!F140</f>
        <v>0</v>
      </c>
      <c r="G54" s="1086">
        <f>Zusatzeingaben!G140</f>
        <v>0</v>
      </c>
      <c r="H54" s="1086">
        <f>Zusatzeingaben!H140</f>
        <v>0</v>
      </c>
      <c r="I54" s="1087">
        <f>Zusatzeingaben!I140</f>
        <v>0</v>
      </c>
      <c r="J54" s="805"/>
      <c r="K54" s="1977" t="str">
        <f>Wohngeld!A54</f>
        <v>mögliches Wohngeld</v>
      </c>
      <c r="L54" s="1977"/>
      <c r="M54" s="1977"/>
      <c r="N54" s="1977"/>
      <c r="O54" s="1977"/>
      <c r="P54" s="1977"/>
      <c r="Q54" s="1977"/>
      <c r="R54" s="1977"/>
      <c r="S54" s="1977"/>
      <c r="T54" s="805"/>
      <c r="AD54" s="805"/>
      <c r="AE54" s="1088">
        <f>ZuschussKV!A54</f>
        <v>0</v>
      </c>
      <c r="AF54" s="1089">
        <f>ZuschussKV!B54</f>
        <v>0</v>
      </c>
      <c r="AG54" s="1090">
        <f>ZuschussKV!C54</f>
        <v>0</v>
      </c>
      <c r="AH54" s="1090">
        <f>ZuschussKV!D54</f>
        <v>0</v>
      </c>
      <c r="AI54" s="1090">
        <f>ZuschussKV!E54</f>
        <v>0</v>
      </c>
      <c r="AJ54" s="1090">
        <f>ZuschussKV!F54</f>
        <v>0</v>
      </c>
      <c r="AK54" s="1091">
        <f>ZuschussKV!G54</f>
        <v>0</v>
      </c>
    </row>
    <row r="55" spans="1:37" ht="17.25">
      <c r="A55" s="1092">
        <f>IF(B55&gt;0,"Nettolohn",0)</f>
        <v>0</v>
      </c>
      <c r="B55" s="1093">
        <f t="shared" si="4"/>
        <v>0</v>
      </c>
      <c r="C55" s="924">
        <f>Zusatzeingaben!C133</f>
        <v>0</v>
      </c>
      <c r="D55" s="924">
        <f>Zusatzeingaben!D133</f>
        <v>0</v>
      </c>
      <c r="E55" s="924">
        <f>Zusatzeingaben!E133</f>
        <v>0</v>
      </c>
      <c r="F55" s="924">
        <f>Zusatzeingaben!F133</f>
        <v>0</v>
      </c>
      <c r="G55" s="924">
        <f>Zusatzeingaben!G133</f>
        <v>0</v>
      </c>
      <c r="H55" s="924">
        <f>Zusatzeingaben!H133</f>
        <v>0</v>
      </c>
      <c r="I55" s="925">
        <f>Zusatzeingaben!I133</f>
        <v>0</v>
      </c>
      <c r="J55" s="805"/>
      <c r="K55" s="1094">
        <f>Wohngeld!A55</f>
        <v>0</v>
      </c>
      <c r="L55" s="1095">
        <f>Wohngeld!B55</f>
        <v>0</v>
      </c>
      <c r="M55" s="1096">
        <f>Wohngeld!C55</f>
        <v>0</v>
      </c>
      <c r="N55" s="1096">
        <f>Wohngeld!D55</f>
        <v>0</v>
      </c>
      <c r="O55" s="1096">
        <f>Wohngeld!E55</f>
        <v>0</v>
      </c>
      <c r="P55" s="1096">
        <f>Wohngeld!F55</f>
        <v>0</v>
      </c>
      <c r="Q55" s="1096">
        <f>Wohngeld!G55</f>
        <v>0</v>
      </c>
      <c r="R55" s="1096">
        <f>Wohngeld!H55</f>
        <v>0</v>
      </c>
      <c r="S55" s="1097">
        <f>Wohngeld!I55</f>
        <v>0</v>
      </c>
      <c r="T55" s="805"/>
      <c r="AD55" s="805"/>
      <c r="AE55" s="1098" t="str">
        <f>ZuschussKV!A55</f>
        <v>Gesetzliche Pflegeversicherung</v>
      </c>
      <c r="AF55" s="1099">
        <f>ZuschussKV!B55</f>
        <v>0</v>
      </c>
      <c r="AG55" s="1100">
        <f>ZuschussKV!C55</f>
        <v>0</v>
      </c>
      <c r="AH55" s="1100">
        <f>ZuschussKV!D55</f>
        <v>0</v>
      </c>
      <c r="AI55" s="1100">
        <f>ZuschussKV!E55</f>
        <v>0</v>
      </c>
      <c r="AJ55" s="1100">
        <f>ZuschussKV!F55</f>
        <v>0</v>
      </c>
      <c r="AK55" s="1101">
        <f>ZuschussKV!G55</f>
        <v>0</v>
      </c>
    </row>
    <row r="56" spans="1:37" ht="20.25">
      <c r="A56" s="922">
        <f>IF(B56&gt;0,"Ausbildungsvergütung (netto)",0)</f>
        <v>0</v>
      </c>
      <c r="B56" s="1093">
        <f t="shared" si="4"/>
        <v>0</v>
      </c>
      <c r="C56" s="924">
        <f>Zusatzeingaben!C137</f>
        <v>0</v>
      </c>
      <c r="D56" s="924">
        <f>Zusatzeingaben!D137</f>
        <v>0</v>
      </c>
      <c r="E56" s="924">
        <f>Zusatzeingaben!E137</f>
        <v>0</v>
      </c>
      <c r="F56" s="924">
        <f>Zusatzeingaben!F137</f>
        <v>0</v>
      </c>
      <c r="G56" s="924">
        <f>Zusatzeingaben!G137</f>
        <v>0</v>
      </c>
      <c r="H56" s="924">
        <f>Zusatzeingaben!H137</f>
        <v>0</v>
      </c>
      <c r="I56" s="925">
        <f>Zusatzeingaben!I137</f>
        <v>0</v>
      </c>
      <c r="J56" s="805"/>
      <c r="K56" s="1102" t="str">
        <f>IF(B161&gt;L56,"Theoretischer Anspruch","Anspruch")</f>
        <v>Anspruch</v>
      </c>
      <c r="L56" s="1103" t="str">
        <f>Wohngeld!B56</f>
        <v>0,00 €</v>
      </c>
      <c r="M56" s="1104">
        <f>Wohngeld!C56</f>
        <v>0</v>
      </c>
      <c r="N56" s="1104">
        <f>Wohngeld!D56</f>
        <v>0</v>
      </c>
      <c r="O56" s="1104">
        <f>Wohngeld!E56</f>
        <v>0</v>
      </c>
      <c r="P56" s="1104">
        <f>Wohngeld!F56</f>
        <v>0</v>
      </c>
      <c r="Q56" s="1104">
        <f>Wohngeld!G56</f>
        <v>0</v>
      </c>
      <c r="R56" s="1104">
        <f>Wohngeld!H56</f>
        <v>0</v>
      </c>
      <c r="S56" s="1105">
        <f>Wohngeld!I56</f>
        <v>0</v>
      </c>
      <c r="T56" s="805"/>
      <c r="AD56" s="805"/>
      <c r="AE56" s="933" t="str">
        <f>ZuschussKV!A56</f>
        <v>Beitrag zur Pflegeversicherung</v>
      </c>
      <c r="AF56" s="1015">
        <f>ZuschussKV!B56</f>
        <v>0</v>
      </c>
      <c r="AG56" s="1016">
        <f>ZuschussKV!C56</f>
        <v>0</v>
      </c>
      <c r="AH56" s="1016">
        <f>ZuschussKV!D56</f>
        <v>0</v>
      </c>
      <c r="AI56" s="1016">
        <f>ZuschussKV!E56</f>
        <v>0</v>
      </c>
      <c r="AJ56" s="1016">
        <f>ZuschussKV!F56</f>
        <v>0</v>
      </c>
      <c r="AK56" s="1017">
        <f>ZuschussKV!G56</f>
        <v>0</v>
      </c>
    </row>
    <row r="57" spans="1:37" ht="17.25">
      <c r="A57" s="922">
        <f>IF(B57&gt;0,Zusatzeingaben!A139,0)</f>
        <v>0</v>
      </c>
      <c r="B57" s="1093">
        <f t="shared" si="4"/>
        <v>0</v>
      </c>
      <c r="C57" s="924">
        <f>Zusatzeingaben!C139</f>
        <v>0</v>
      </c>
      <c r="D57" s="924">
        <f>Zusatzeingaben!D139</f>
        <v>0</v>
      </c>
      <c r="E57" s="924">
        <f>Zusatzeingaben!E139</f>
        <v>0</v>
      </c>
      <c r="F57" s="924">
        <f>Zusatzeingaben!F139</f>
        <v>0</v>
      </c>
      <c r="G57" s="924">
        <f>Zusatzeingaben!G139</f>
        <v>0</v>
      </c>
      <c r="H57" s="924">
        <f>Zusatzeingaben!H139</f>
        <v>0</v>
      </c>
      <c r="I57" s="925">
        <f>Zusatzeingaben!I139</f>
        <v>0</v>
      </c>
      <c r="J57" s="805"/>
      <c r="L57" s="1978" t="str">
        <f>IF(B161&gt;L56,"Da auch mit Wohngeld der Bedarf nicht gedeckt ist, wird der theoretisch mögliche Anspruch nicht gewährt werden","")</f>
        <v/>
      </c>
      <c r="M57" s="1978"/>
      <c r="N57" s="1978"/>
      <c r="O57" s="1978"/>
      <c r="P57" s="1978"/>
      <c r="Q57" s="1978"/>
      <c r="R57" s="1978"/>
      <c r="S57" s="1978"/>
      <c r="AD57" s="805"/>
      <c r="AE57" s="933">
        <f>ZuschussKV!A57</f>
        <v>0</v>
      </c>
      <c r="AF57" s="1106">
        <f>ZuschussKV!B57</f>
        <v>0</v>
      </c>
      <c r="AG57" s="1016">
        <f>ZuschussKV!C57</f>
        <v>0</v>
      </c>
      <c r="AH57" s="1016">
        <f>ZuschussKV!D57</f>
        <v>0</v>
      </c>
      <c r="AI57" s="1016">
        <f>ZuschussKV!E57</f>
        <v>0</v>
      </c>
      <c r="AJ57" s="1016">
        <f>ZuschussKV!F57</f>
        <v>0</v>
      </c>
      <c r="AK57" s="1017">
        <f>ZuschussKV!G57</f>
        <v>0</v>
      </c>
    </row>
    <row r="58" spans="1:37" ht="17.25">
      <c r="A58" s="922">
        <f>IF(B58&gt;0,"steuerfreie Einnahmen Ehrenamt o.ä.",0)</f>
        <v>0</v>
      </c>
      <c r="B58" s="1093">
        <f t="shared" si="4"/>
        <v>0</v>
      </c>
      <c r="C58" s="924">
        <f>Zusatzeingaben!C138</f>
        <v>0</v>
      </c>
      <c r="D58" s="924">
        <f>Zusatzeingaben!D138</f>
        <v>0</v>
      </c>
      <c r="E58" s="924">
        <f>Zusatzeingaben!E138</f>
        <v>0</v>
      </c>
      <c r="F58" s="924">
        <f>Zusatzeingaben!F138</f>
        <v>0</v>
      </c>
      <c r="G58" s="924">
        <f>Zusatzeingaben!G138</f>
        <v>0</v>
      </c>
      <c r="H58" s="924">
        <f>Zusatzeingaben!H138</f>
        <v>0</v>
      </c>
      <c r="I58" s="925">
        <f>Zusatzeingaben!I138</f>
        <v>0</v>
      </c>
      <c r="J58" s="805"/>
      <c r="K58" s="1047" t="s">
        <v>253</v>
      </c>
      <c r="AD58" s="805"/>
      <c r="AE58" s="863">
        <f>ZuschussKV!A58</f>
        <v>0</v>
      </c>
      <c r="AF58" s="1106">
        <f>ZuschussKV!B58</f>
        <v>0</v>
      </c>
      <c r="AG58" s="1016">
        <f>ZuschussKV!C58</f>
        <v>0</v>
      </c>
      <c r="AH58" s="1016">
        <f>ZuschussKV!D58</f>
        <v>0</v>
      </c>
      <c r="AI58" s="1016">
        <f>ZuschussKV!E58</f>
        <v>0</v>
      </c>
      <c r="AJ58" s="1016">
        <f>ZuschussKV!F58</f>
        <v>0</v>
      </c>
      <c r="AK58" s="1017">
        <f>ZuschussKV!G58</f>
        <v>0</v>
      </c>
    </row>
    <row r="59" spans="1:37" ht="17.25">
      <c r="A59" s="922">
        <f>IF(B59&gt;0,"Einkommen aus Freiwilligendienste",0)</f>
        <v>0</v>
      </c>
      <c r="B59" s="1093">
        <f t="shared" si="4"/>
        <v>0</v>
      </c>
      <c r="C59" s="924">
        <f>Zusatzeingaben!C170</f>
        <v>0</v>
      </c>
      <c r="D59" s="924">
        <f>Zusatzeingaben!D170</f>
        <v>0</v>
      </c>
      <c r="E59" s="924">
        <f>Zusatzeingaben!E170</f>
        <v>0</v>
      </c>
      <c r="F59" s="924">
        <f>Zusatzeingaben!F170</f>
        <v>0</v>
      </c>
      <c r="G59" s="924">
        <f>Zusatzeingaben!G170</f>
        <v>0</v>
      </c>
      <c r="H59" s="924">
        <f>Zusatzeingaben!H170</f>
        <v>0</v>
      </c>
      <c r="I59" s="925">
        <f>Zusatzeingaben!I170</f>
        <v>0</v>
      </c>
      <c r="J59" s="805"/>
      <c r="AD59" s="805"/>
      <c r="AE59" s="1041" t="str">
        <f>ZuschussKV!A59</f>
        <v>Zuschuss zur gesetzlichen Pflegeversicherung</v>
      </c>
      <c r="AF59" s="1107">
        <f>ZuschussKV!B59</f>
        <v>0</v>
      </c>
      <c r="AG59" s="1043">
        <f>ZuschussKV!C59</f>
        <v>0</v>
      </c>
      <c r="AH59" s="1043">
        <f>ZuschussKV!D59</f>
        <v>0</v>
      </c>
      <c r="AI59" s="1043">
        <f>ZuschussKV!E59</f>
        <v>0</v>
      </c>
      <c r="AJ59" s="1043">
        <f>ZuschussKV!F59</f>
        <v>0</v>
      </c>
      <c r="AK59" s="1044">
        <f>ZuschussKV!G59</f>
        <v>0</v>
      </c>
    </row>
    <row r="60" spans="1:37" ht="17.25">
      <c r="A60" s="922">
        <f>IF(B60&gt;0,"Elterngeld",0)</f>
        <v>0</v>
      </c>
      <c r="B60" s="1093">
        <f t="shared" si="4"/>
        <v>0</v>
      </c>
      <c r="C60" s="924">
        <f>Zusatzeingaben!C174</f>
        <v>0</v>
      </c>
      <c r="D60" s="924">
        <f>Zusatzeingaben!D174</f>
        <v>0</v>
      </c>
      <c r="E60" s="924"/>
      <c r="F60" s="924"/>
      <c r="G60" s="924"/>
      <c r="H60" s="924"/>
      <c r="I60" s="925"/>
      <c r="J60" s="805"/>
    </row>
    <row r="61" spans="1:37" ht="17.25">
      <c r="A61" s="922">
        <f>IF(B61&gt;0,Zusatzeingaben!A180,0)</f>
        <v>0</v>
      </c>
      <c r="B61" s="1093">
        <f t="shared" si="4"/>
        <v>0</v>
      </c>
      <c r="C61" s="924">
        <f>Zusatzeingaben!C180</f>
        <v>0</v>
      </c>
      <c r="D61" s="924">
        <f>Zusatzeingaben!D180</f>
        <v>0</v>
      </c>
      <c r="E61" s="924">
        <f>Zusatzeingaben!E180</f>
        <v>0</v>
      </c>
      <c r="F61" s="924">
        <f>Zusatzeingaben!F180</f>
        <v>0</v>
      </c>
      <c r="G61" s="924"/>
      <c r="H61" s="924"/>
      <c r="I61" s="925"/>
      <c r="J61" s="805"/>
      <c r="AE61" s="1047" t="s">
        <v>253</v>
      </c>
    </row>
    <row r="62" spans="1:37" ht="17.25">
      <c r="A62" s="922">
        <f>IF(B62&gt;0,"Kindergeld",0)</f>
        <v>0</v>
      </c>
      <c r="B62" s="1093">
        <f t="shared" si="4"/>
        <v>0</v>
      </c>
      <c r="C62" s="924">
        <f>Zusatzeingaben!C192</f>
        <v>0</v>
      </c>
      <c r="D62" s="924">
        <f>Zusatzeingaben!D192</f>
        <v>0</v>
      </c>
      <c r="E62" s="924">
        <f>MAX(Eingabetabelle!F97:F98)</f>
        <v>0</v>
      </c>
      <c r="F62" s="924">
        <f>MAX(Eingabetabelle!G97:G98)</f>
        <v>0</v>
      </c>
      <c r="G62" s="924">
        <f>MAX(Eingabetabelle!H97:H98)</f>
        <v>0</v>
      </c>
      <c r="H62" s="924">
        <f>MAX(Eingabetabelle!I97:I98)</f>
        <v>0</v>
      </c>
      <c r="I62" s="924">
        <f>MAX(Eingabetabelle!J97:J98)</f>
        <v>0</v>
      </c>
      <c r="J62" s="805"/>
    </row>
    <row r="63" spans="1:37" ht="17.25">
      <c r="A63" s="922">
        <f>IF(B63&gt;0,"Unterhalt/Unterhaltsvorschuss",0)</f>
        <v>0</v>
      </c>
      <c r="B63" s="1093">
        <f t="shared" si="4"/>
        <v>0</v>
      </c>
      <c r="C63" s="924">
        <f>Zusatzeingaben!C195</f>
        <v>0</v>
      </c>
      <c r="D63" s="924">
        <f>Zusatzeingaben!D195</f>
        <v>0</v>
      </c>
      <c r="E63" s="924">
        <f>Zusatzeingaben!E195</f>
        <v>0</v>
      </c>
      <c r="F63" s="924">
        <f>Zusatzeingaben!F195</f>
        <v>0</v>
      </c>
      <c r="G63" s="924">
        <f>Zusatzeingaben!G195</f>
        <v>0</v>
      </c>
      <c r="H63" s="924">
        <f>Zusatzeingaben!H195</f>
        <v>0</v>
      </c>
      <c r="I63" s="925">
        <f>Zusatzeingaben!I195</f>
        <v>0</v>
      </c>
      <c r="J63" s="805"/>
    </row>
    <row r="64" spans="1:37" ht="17.25">
      <c r="A64" s="922">
        <f>IF(B64&gt;0,Zusatzeingaben!A196,0)</f>
        <v>0</v>
      </c>
      <c r="B64" s="1093">
        <f t="shared" si="4"/>
        <v>0</v>
      </c>
      <c r="C64" s="924">
        <f>Zusatzeingaben!C196</f>
        <v>0</v>
      </c>
      <c r="D64" s="924">
        <f>Zusatzeingaben!D196</f>
        <v>0</v>
      </c>
      <c r="E64" s="924">
        <f>Zusatzeingaben!E196</f>
        <v>0</v>
      </c>
      <c r="F64" s="924">
        <f>Zusatzeingaben!F196</f>
        <v>0</v>
      </c>
      <c r="G64" s="924">
        <f>Zusatzeingaben!G196</f>
        <v>0</v>
      </c>
      <c r="H64" s="924">
        <f>Zusatzeingaben!H196</f>
        <v>0</v>
      </c>
      <c r="I64" s="925">
        <f>Zusatzeingaben!I196</f>
        <v>0</v>
      </c>
      <c r="J64" s="805"/>
    </row>
    <row r="65" spans="1:10" ht="17.25">
      <c r="A65" s="922">
        <f>IF(B65&gt;0,"Altersrente",0)</f>
        <v>0</v>
      </c>
      <c r="B65" s="1093">
        <f t="shared" si="4"/>
        <v>0</v>
      </c>
      <c r="C65" s="924">
        <f>Zusatzeingaben!C197</f>
        <v>0</v>
      </c>
      <c r="D65" s="924">
        <f>Zusatzeingaben!D197</f>
        <v>0</v>
      </c>
      <c r="E65" s="924">
        <f>Zusatzeingaben!E197</f>
        <v>0</v>
      </c>
      <c r="F65" s="924">
        <f>Zusatzeingaben!F197</f>
        <v>0</v>
      </c>
      <c r="G65" s="924">
        <f>Zusatzeingaben!G197</f>
        <v>0</v>
      </c>
      <c r="H65" s="924">
        <f>Zusatzeingaben!H197</f>
        <v>0</v>
      </c>
      <c r="I65" s="925">
        <f>Zusatzeingaben!I197</f>
        <v>0</v>
      </c>
      <c r="J65" s="805"/>
    </row>
    <row r="66" spans="1:10" ht="17.25">
      <c r="A66" s="922">
        <f>IF(B66&gt;0,Zusatzeingaben!A198,0)</f>
        <v>0</v>
      </c>
      <c r="B66" s="1093">
        <f t="shared" si="4"/>
        <v>0</v>
      </c>
      <c r="C66" s="924">
        <f>Zusatzeingaben!C198</f>
        <v>0</v>
      </c>
      <c r="D66" s="924">
        <f>Zusatzeingaben!D198</f>
        <v>0</v>
      </c>
      <c r="E66" s="924">
        <f>Zusatzeingaben!E198</f>
        <v>0</v>
      </c>
      <c r="F66" s="924">
        <f>Zusatzeingaben!F198</f>
        <v>0</v>
      </c>
      <c r="G66" s="924">
        <f>Zusatzeingaben!G198</f>
        <v>0</v>
      </c>
      <c r="H66" s="924">
        <f>Zusatzeingaben!H198</f>
        <v>0</v>
      </c>
      <c r="I66" s="925">
        <f>Zusatzeingaben!I198</f>
        <v>0</v>
      </c>
      <c r="J66" s="805"/>
    </row>
    <row r="67" spans="1:10" ht="17.25" hidden="1">
      <c r="A67" s="922"/>
      <c r="B67" s="1093">
        <f t="shared" si="4"/>
        <v>0</v>
      </c>
      <c r="C67" s="924"/>
      <c r="D67" s="924"/>
      <c r="E67" s="924"/>
      <c r="F67" s="924"/>
      <c r="G67" s="924"/>
      <c r="H67" s="924"/>
      <c r="I67" s="925"/>
      <c r="J67" s="805"/>
    </row>
    <row r="68" spans="1:10" ht="16.5" customHeight="1">
      <c r="A68" s="1108">
        <f>IF(B68&gt;0,Zusatzeingaben!A199,0)</f>
        <v>0</v>
      </c>
      <c r="B68" s="1109">
        <f t="shared" si="4"/>
        <v>0</v>
      </c>
      <c r="C68" s="1066">
        <f>Zusatzeingaben!C199</f>
        <v>0</v>
      </c>
      <c r="D68" s="1066">
        <f>Zusatzeingaben!D199</f>
        <v>0</v>
      </c>
      <c r="E68" s="1066">
        <f>Zusatzeingaben!E199</f>
        <v>0</v>
      </c>
      <c r="F68" s="1066">
        <f>Zusatzeingaben!F199</f>
        <v>0</v>
      </c>
      <c r="G68" s="1066">
        <f>Zusatzeingaben!G199</f>
        <v>0</v>
      </c>
      <c r="H68" s="1066">
        <f>Zusatzeingaben!H199</f>
        <v>0</v>
      </c>
      <c r="I68" s="1067">
        <f>Zusatzeingaben!I199</f>
        <v>0</v>
      </c>
      <c r="J68" s="805"/>
    </row>
    <row r="69" spans="1:10" ht="17.25" hidden="1">
      <c r="A69" s="965"/>
      <c r="B69" s="1110"/>
      <c r="C69" s="1111">
        <f t="shared" ref="C69:I69" si="5">SUM(C60:C68)</f>
        <v>0</v>
      </c>
      <c r="D69" s="1111">
        <f t="shared" si="5"/>
        <v>0</v>
      </c>
      <c r="E69" s="1111">
        <f t="shared" si="5"/>
        <v>0</v>
      </c>
      <c r="F69" s="1111">
        <f t="shared" si="5"/>
        <v>0</v>
      </c>
      <c r="G69" s="1111">
        <f t="shared" si="5"/>
        <v>0</v>
      </c>
      <c r="H69" s="1111">
        <f t="shared" si="5"/>
        <v>0</v>
      </c>
      <c r="I69" s="1112">
        <f t="shared" si="5"/>
        <v>0</v>
      </c>
      <c r="J69" s="805"/>
    </row>
    <row r="70" spans="1:10" ht="17.25">
      <c r="A70" s="1113" t="s">
        <v>208</v>
      </c>
      <c r="B70" s="1114">
        <f>SUM(C70:I70)</f>
        <v>0</v>
      </c>
      <c r="C70" s="1115">
        <f t="shared" ref="C70:I70" si="6">SUM(C55:C68)</f>
        <v>0</v>
      </c>
      <c r="D70" s="1115">
        <f t="shared" si="6"/>
        <v>0</v>
      </c>
      <c r="E70" s="1115">
        <f t="shared" si="6"/>
        <v>0</v>
      </c>
      <c r="F70" s="1115">
        <f t="shared" si="6"/>
        <v>0</v>
      </c>
      <c r="G70" s="1115">
        <f t="shared" si="6"/>
        <v>0</v>
      </c>
      <c r="H70" s="1115">
        <f t="shared" si="6"/>
        <v>0</v>
      </c>
      <c r="I70" s="1116">
        <f t="shared" si="6"/>
        <v>0</v>
      </c>
      <c r="J70" s="805"/>
    </row>
    <row r="71" spans="1:10" ht="16.5" hidden="1" customHeight="1">
      <c r="A71" s="979"/>
      <c r="B71" s="924"/>
      <c r="C71" s="1117">
        <f>IF(AND(Zusatzeingaben!C161&gt;0,Zusatzeingaben!C164=Zusatzeingaben!C161),0,Zusatzeingaben!C203)</f>
        <v>0</v>
      </c>
      <c r="D71" s="1117">
        <f>IF(AND(Zusatzeingaben!D161&gt;0,Zusatzeingaben!D164=Zusatzeingaben!D161),0,Zusatzeingaben!D203)</f>
        <v>0</v>
      </c>
      <c r="E71" s="1117">
        <f>IF(AND(Zusatzeingaben!E161&gt;0,Zusatzeingaben!E164=Zusatzeingaben!E161),0,Zusatzeingaben!E203)</f>
        <v>0</v>
      </c>
      <c r="F71" s="1117">
        <f>IF(AND(Zusatzeingaben!F161&gt;0,Zusatzeingaben!F164=Zusatzeingaben!F161),0,Zusatzeingaben!F203)</f>
        <v>0</v>
      </c>
      <c r="G71" s="1117">
        <f>IF(AND(Zusatzeingaben!G161&gt;0,Zusatzeingaben!G164=Zusatzeingaben!G161),0,Zusatzeingaben!G203)</f>
        <v>0</v>
      </c>
      <c r="H71" s="1117">
        <f>IF(AND(Zusatzeingaben!H161&gt;0,Zusatzeingaben!H164=Zusatzeingaben!H161),0,Zusatzeingaben!H203)</f>
        <v>0</v>
      </c>
      <c r="I71" s="1118">
        <f>IF(AND(Zusatzeingaben!I161&gt;0,Zusatzeingaben!I164=Zusatzeingaben!I161),0,Zusatzeingaben!I203)</f>
        <v>0</v>
      </c>
      <c r="J71" s="805"/>
    </row>
    <row r="72" spans="1:10" ht="16.5" hidden="1" customHeight="1">
      <c r="A72" s="979"/>
      <c r="B72" s="924"/>
      <c r="C72" s="1117">
        <f>IF(AND(Zusatzeingaben!C215&gt;C113,C78&lt;0),C71+C78,C71)</f>
        <v>0</v>
      </c>
      <c r="D72" s="1117">
        <f>IF(AND(Zusatzeingaben!D215&gt;D113,D78&lt;0),D71+D78,D71)</f>
        <v>0</v>
      </c>
      <c r="E72" s="1117">
        <f>IF(AND(Zusatzeingaben!E215&gt;E113,E78&lt;0),E71+E78,E71)</f>
        <v>0</v>
      </c>
      <c r="F72" s="1117">
        <f>IF(AND(Zusatzeingaben!F215&gt;F113,F78&lt;0),F71+F78,F71)</f>
        <v>0</v>
      </c>
      <c r="G72" s="1117">
        <f>IF(AND(Zusatzeingaben!G215&gt;G113,G78&lt;0),G71+G78,G71)</f>
        <v>0</v>
      </c>
      <c r="H72" s="1117">
        <f>IF(AND(Zusatzeingaben!H215&gt;H113,H78&lt;0),H71+H78,H71)</f>
        <v>0</v>
      </c>
      <c r="I72" s="1118">
        <f>IF(AND(Zusatzeingaben!I215&gt;I113,I78&lt;0),I71+I78,I71)</f>
        <v>0</v>
      </c>
      <c r="J72" s="805"/>
    </row>
    <row r="73" spans="1:10" ht="16.5" hidden="1" customHeight="1">
      <c r="A73" s="979"/>
      <c r="B73" s="924"/>
      <c r="C73" s="1117">
        <f>IF(AND(C113&gt;0,Zusatzeingaben!C215&lt;C113),0,C72)</f>
        <v>0</v>
      </c>
      <c r="D73" s="1117">
        <f>IF(AND(D113&gt;0,Zusatzeingaben!D215&lt;D113),0,D72)</f>
        <v>0</v>
      </c>
      <c r="E73" s="1117">
        <f>IF(AND(E113&gt;0,Zusatzeingaben!E215&lt;E113),0,E72)</f>
        <v>0</v>
      </c>
      <c r="F73" s="1117">
        <f>IF(AND(F113&gt;0,Zusatzeingaben!F215&lt;F113),0,F72)</f>
        <v>0</v>
      </c>
      <c r="G73" s="1117">
        <f>IF(AND(G113&gt;0,Zusatzeingaben!G215&lt;G113),0,G72)</f>
        <v>0</v>
      </c>
      <c r="H73" s="1117">
        <f>IF(AND(H113&gt;0,Zusatzeingaben!H215&lt;H113),0,H72)</f>
        <v>0</v>
      </c>
      <c r="I73" s="1118">
        <f>IF(AND(I113&gt;0,Zusatzeingaben!I215&lt;I113),0,I72)</f>
        <v>0</v>
      </c>
      <c r="J73" s="805"/>
    </row>
    <row r="74" spans="1:10" ht="16.5" hidden="1" customHeight="1">
      <c r="A74" s="979"/>
      <c r="B74" s="924"/>
      <c r="C74" s="1117">
        <f>IF(C113=0,Zusatzeingaben!C203,0)</f>
        <v>0</v>
      </c>
      <c r="D74" s="1117">
        <f>IF(D113=0,Zusatzeingaben!D203,0)</f>
        <v>0</v>
      </c>
      <c r="E74" s="1117">
        <f>IF(E113=0,Zusatzeingaben!E203,0)</f>
        <v>0</v>
      </c>
      <c r="F74" s="1117">
        <f>IF(F113=0,Zusatzeingaben!F203,0)</f>
        <v>0</v>
      </c>
      <c r="G74" s="1117">
        <f>IF(G113=0,Zusatzeingaben!G203,0)</f>
        <v>0</v>
      </c>
      <c r="H74" s="1117">
        <f>IF(H113=0,Zusatzeingaben!H203,0)</f>
        <v>0</v>
      </c>
      <c r="I74" s="1118">
        <f>IF(I113=0,Zusatzeingaben!I203,0)</f>
        <v>0</v>
      </c>
      <c r="J74" s="805"/>
    </row>
    <row r="75" spans="1:10" ht="16.5" hidden="1" customHeight="1">
      <c r="A75" s="979"/>
      <c r="B75" s="1119"/>
      <c r="C75" s="1111">
        <f t="shared" ref="C75:I75" si="7">IF(C74=30,C74,C73)</f>
        <v>0</v>
      </c>
      <c r="D75" s="1111">
        <f t="shared" si="7"/>
        <v>0</v>
      </c>
      <c r="E75" s="1111">
        <f t="shared" si="7"/>
        <v>0</v>
      </c>
      <c r="F75" s="1111">
        <f t="shared" si="7"/>
        <v>0</v>
      </c>
      <c r="G75" s="1111">
        <f t="shared" si="7"/>
        <v>0</v>
      </c>
      <c r="H75" s="1111">
        <f t="shared" si="7"/>
        <v>0</v>
      </c>
      <c r="I75" s="1112">
        <f t="shared" si="7"/>
        <v>0</v>
      </c>
      <c r="J75" s="805"/>
    </row>
    <row r="76" spans="1:10" ht="17.25">
      <c r="A76" s="1120">
        <f>IF(B76&gt;0,"./. Versicherungspauschale",0)</f>
        <v>0</v>
      </c>
      <c r="B76" s="1121">
        <f>SUM(C76:I76)</f>
        <v>0</v>
      </c>
      <c r="C76" s="1122">
        <f>IF(C70=0,0,IF(C75&lt;0,0,IF(AND(C114&gt;0,C54&lt;=400),0,IF(AND(C114&gt;0,Zusatzeingaben!C141=0),0,IF(AND(C61&gt;0,C120=Zusatzeingaben!C189,Zusatzeingaben!C189&gt;0),0,C75)))))</f>
        <v>0</v>
      </c>
      <c r="D76" s="1122">
        <f>IF(D70=0,0,IF(D75&lt;0,0,IF(AND(D114&gt;0,D54&lt;=400),0,IF(AND(D114&gt;0,Zusatzeingaben!D141=0),0,IF(AND(D61&gt;0,D120=Zusatzeingaben!D189,Zusatzeingaben!D189&gt;0),0,D75)))))</f>
        <v>0</v>
      </c>
      <c r="E76" s="1122">
        <f>IF(E70=0,0,IF(E75&lt;0,0,IF(AND(E114&gt;0,E54&lt;=400),0,IF(AND(E114&gt;0,Zusatzeingaben!E141=0),0,IF(AND(E61&gt;0,E120=Zusatzeingaben!E189,Zusatzeingaben!E189&gt;0),0,E75)))))</f>
        <v>0</v>
      </c>
      <c r="F76" s="1122">
        <f>IF(F70=0,0,IF(F75&lt;0,0,IF(AND(F114&gt;0,F54&lt;=400),0,IF(AND(F114&gt;0,Zusatzeingaben!F141=0),0,IF(AND(F61&gt;0,F120=Zusatzeingaben!F189,Zusatzeingaben!F189&gt;0),0,F75)))))</f>
        <v>0</v>
      </c>
      <c r="G76" s="1122">
        <f>IF(G70=0,0,IF(G75&lt;0,0,IF(AND(G114&gt;0,G54&lt;=400),0,IF(AND(G114&gt;0,Zusatzeingaben!G141=0),0,IF(AND(G61&gt;0,G120=Zusatzeingaben!G189,Zusatzeingaben!G189&gt;0),0,G75)))))</f>
        <v>0</v>
      </c>
      <c r="H76" s="1122">
        <f>IF(H70=0,0,IF(H75&lt;0,0,IF(AND(H114&gt;0,H54&lt;=400),0,IF(AND(H114&gt;0,Zusatzeingaben!H141=0),0,IF(AND(H61&gt;0,H120=Zusatzeingaben!H189,Zusatzeingaben!H189&gt;0),0,H75)))))</f>
        <v>0</v>
      </c>
      <c r="I76" s="1123">
        <f>IF(I70=0,0,IF(I75&lt;0,0,IF(AND(I114&gt;0,I54&lt;=400),0,IF(AND(I114&gt;0,Zusatzeingaben!I141=0),0,IF(AND(I61&gt;0,I120=Zusatzeingaben!I189,Zusatzeingaben!I189&gt;0),0,I75)))))</f>
        <v>0</v>
      </c>
      <c r="J76" s="805"/>
    </row>
    <row r="77" spans="1:10" ht="17.25" hidden="1">
      <c r="A77" s="979"/>
      <c r="B77" s="1093"/>
      <c r="C77" s="1117">
        <f>IF(AND(Zusatzeingaben!C161&gt;0,Zusatzeingaben!C164=Zusatzeingaben!C161),0,Zusatzeingaben!C204-Zusatzeingaben!C161)</f>
        <v>0</v>
      </c>
      <c r="D77" s="1117">
        <f>IF(AND(Zusatzeingaben!D161&gt;0,Zusatzeingaben!D164=Zusatzeingaben!D161),0,Zusatzeingaben!D204-Zusatzeingaben!D161)</f>
        <v>0</v>
      </c>
      <c r="E77" s="1117">
        <f>IF(AND(Zusatzeingaben!E161&gt;0,Zusatzeingaben!E164=Zusatzeingaben!E161),0,Zusatzeingaben!E204-Zusatzeingaben!E161)</f>
        <v>0</v>
      </c>
      <c r="F77" s="1117">
        <f>IF(AND(Zusatzeingaben!F161&gt;0,Zusatzeingaben!F164=Zusatzeingaben!F161),0,Zusatzeingaben!F204-Zusatzeingaben!F161)</f>
        <v>0</v>
      </c>
      <c r="G77" s="1117">
        <f>IF(AND(Zusatzeingaben!G161&gt;0,Zusatzeingaben!G164=Zusatzeingaben!G161),0,Zusatzeingaben!G204-Zusatzeingaben!G161)</f>
        <v>0</v>
      </c>
      <c r="H77" s="1117">
        <f>IF(AND(Zusatzeingaben!H161&gt;0,Zusatzeingaben!H164=Zusatzeingaben!H161),0,Zusatzeingaben!H204-Zusatzeingaben!H161)</f>
        <v>0</v>
      </c>
      <c r="I77" s="1118">
        <f>IF(AND(Zusatzeingaben!I161&gt;0,Zusatzeingaben!I164=Zusatzeingaben!I161),0,Zusatzeingaben!I204-Zusatzeingaben!I161)</f>
        <v>0</v>
      </c>
      <c r="J77" s="805"/>
    </row>
    <row r="78" spans="1:10" ht="17.25" hidden="1">
      <c r="A78" s="979"/>
      <c r="B78" s="1093"/>
      <c r="C78" s="1117">
        <f>IF(AND(C71&gt;0,C77&gt;Zusatzeingaben!C204),Zusatzeingaben!C204,C77)</f>
        <v>0</v>
      </c>
      <c r="D78" s="1117">
        <f>IF(AND(D71&gt;0,D77&gt;Zusatzeingaben!D204),Zusatzeingaben!D204,D77)</f>
        <v>0</v>
      </c>
      <c r="E78" s="1117">
        <f>IF(AND(E71&gt;0,E77&gt;Zusatzeingaben!E204),Zusatzeingaben!E204,E77)</f>
        <v>0</v>
      </c>
      <c r="F78" s="1117">
        <f>IF(AND(F71&gt;0,F77&gt;Zusatzeingaben!F204),Zusatzeingaben!F204,F77)</f>
        <v>0</v>
      </c>
      <c r="G78" s="1117">
        <f>IF(AND(G71&gt;0,G77&gt;Zusatzeingaben!G204),Zusatzeingaben!G204,G77)</f>
        <v>0</v>
      </c>
      <c r="H78" s="1117">
        <f>IF(AND(H71&gt;0,H77&gt;Zusatzeingaben!H204),Zusatzeingaben!H204,H77)</f>
        <v>0</v>
      </c>
      <c r="I78" s="1118">
        <f>IF(AND(I71&gt;0,I77&gt;Zusatzeingaben!I204),Zusatzeingaben!I204,I77)</f>
        <v>0</v>
      </c>
      <c r="J78" s="805"/>
    </row>
    <row r="79" spans="1:10" ht="17.25" hidden="1">
      <c r="A79" s="979"/>
      <c r="B79" s="1093"/>
      <c r="C79" s="1117">
        <f>IF(C113=0,Zusatzeingaben!C204,0)</f>
        <v>0</v>
      </c>
      <c r="D79" s="1117">
        <f>IF(D113=0,Zusatzeingaben!D204,0)</f>
        <v>0</v>
      </c>
      <c r="E79" s="1117">
        <f>IF(E113=0,Zusatzeingaben!E204,0)</f>
        <v>0</v>
      </c>
      <c r="F79" s="1117">
        <f>IF(F113=0,Zusatzeingaben!F204,0)</f>
        <v>0</v>
      </c>
      <c r="G79" s="1117">
        <f>IF(G113=0,Zusatzeingaben!G204,0)</f>
        <v>0</v>
      </c>
      <c r="H79" s="1117">
        <f>IF(H113=0,Zusatzeingaben!H204,0)</f>
        <v>0</v>
      </c>
      <c r="I79" s="1118">
        <f>IF(I113=0,Zusatzeingaben!I204,0)</f>
        <v>0</v>
      </c>
      <c r="J79" s="805"/>
    </row>
    <row r="80" spans="1:10" ht="17.25" hidden="1">
      <c r="A80" s="979"/>
      <c r="B80" s="1093"/>
      <c r="C80" s="1117">
        <f>IF(C79=Zusatzeingaben!C204,C79,C78)</f>
        <v>0</v>
      </c>
      <c r="D80" s="1117">
        <f>IF(D79=Zusatzeingaben!D204,D79,D78)</f>
        <v>0</v>
      </c>
      <c r="E80" s="1117">
        <f>IF(E79=Zusatzeingaben!E204,E79,E78)</f>
        <v>0</v>
      </c>
      <c r="F80" s="1117">
        <f>IF(F79=Zusatzeingaben!F204,F79,F78)</f>
        <v>0</v>
      </c>
      <c r="G80" s="1117">
        <f>IF(G79=Zusatzeingaben!G204,G79,G78)</f>
        <v>0</v>
      </c>
      <c r="H80" s="1117">
        <f>IF(H79=Zusatzeingaben!H204,H79,H78)</f>
        <v>0</v>
      </c>
      <c r="I80" s="1118">
        <f>IF(I79=Zusatzeingaben!I204,I79,I78)</f>
        <v>0</v>
      </c>
      <c r="J80" s="805"/>
    </row>
    <row r="81" spans="1:11" ht="17.25" hidden="1">
      <c r="A81" s="979"/>
      <c r="B81" s="1093"/>
      <c r="C81" s="915">
        <f t="shared" ref="C81:I81" si="8">IF(OR(C80&lt;0,C70=0),0,C80)</f>
        <v>0</v>
      </c>
      <c r="D81" s="915">
        <f t="shared" si="8"/>
        <v>0</v>
      </c>
      <c r="E81" s="915">
        <f t="shared" si="8"/>
        <v>0</v>
      </c>
      <c r="F81" s="915">
        <f t="shared" si="8"/>
        <v>0</v>
      </c>
      <c r="G81" s="915">
        <f t="shared" si="8"/>
        <v>0</v>
      </c>
      <c r="H81" s="915">
        <f t="shared" si="8"/>
        <v>0</v>
      </c>
      <c r="I81" s="916">
        <f t="shared" si="8"/>
        <v>0</v>
      </c>
      <c r="J81" s="805"/>
    </row>
    <row r="82" spans="1:11" ht="17.25">
      <c r="A82" s="922">
        <f>IF(B82&gt;0,"./. Kfz-Haftpflichtversicherung",0)</f>
        <v>0</v>
      </c>
      <c r="B82" s="1093">
        <f>SUM(C82:I82)</f>
        <v>0</v>
      </c>
      <c r="C82" s="915">
        <f>IF(AND(C114&gt;0,C54&lt;=400),0,IF(AND(C114&gt;0,Zusatzeingaben!C141=0),0,IF(AND(C120=Zusatzeingaben!C189,C61&gt;0,Zusatzeingaben!C189&gt;0),0,C81)))</f>
        <v>0</v>
      </c>
      <c r="D82" s="915">
        <f>IF(AND(D114&gt;0,D54&lt;=400),0,IF(AND(D114&gt;0,Zusatzeingaben!D141=0),0,IF(AND(D120=Zusatzeingaben!D189,D61&gt;0,Zusatzeingaben!D189&gt;0),0,D81)))</f>
        <v>0</v>
      </c>
      <c r="E82" s="915">
        <f>IF(AND(E114&gt;0,E54&lt;=400),0,IF(AND(E114&gt;0,Zusatzeingaben!E141=0),0,IF(AND(E120=Zusatzeingaben!E189,E61&gt;0,Zusatzeingaben!E189&gt;0),0,E81)))</f>
        <v>0</v>
      </c>
      <c r="F82" s="915">
        <f>IF(AND(F114&gt;0,F54&lt;=400),0,IF(AND(F114&gt;0,Zusatzeingaben!F141=0),0,IF(AND(F120=Zusatzeingaben!F189,F61&gt;0,Zusatzeingaben!F189&gt;0),0,F81)))</f>
        <v>0</v>
      </c>
      <c r="G82" s="915">
        <f>IF(AND(G114&gt;0,G54&lt;=400),0,IF(AND(G114&gt;0,Zusatzeingaben!G141=0),0,IF(AND(G120=Zusatzeingaben!G189,G61&gt;0,Zusatzeingaben!G189&gt;0),0,G81)))</f>
        <v>0</v>
      </c>
      <c r="H82" s="915">
        <f>IF(AND(H114&gt;0,H54&lt;=400),0,IF(AND(H114&gt;0,Zusatzeingaben!H141=0),0,IF(AND(H120=Zusatzeingaben!H189,H61&gt;0,Zusatzeingaben!H189&gt;0),0,H81)))</f>
        <v>0</v>
      </c>
      <c r="I82" s="916">
        <f>IF(AND(I114&gt;0,I54&lt;=400),0,IF(AND(I114&gt;0,Zusatzeingaben!I141=0),0,IF(AND(I120=Zusatzeingaben!I189,I61&gt;0,Zusatzeingaben!I189&gt;0),0,I81)))</f>
        <v>0</v>
      </c>
      <c r="J82" s="805"/>
      <c r="K82" s="563"/>
    </row>
    <row r="83" spans="1:11" ht="18" hidden="1" customHeight="1">
      <c r="A83" s="979"/>
      <c r="B83" s="1124"/>
      <c r="C83" s="1117">
        <f>IF(AND(Zusatzeingaben!C161&gt;0,Zusatzeingaben!C164=Zusatzeingaben!C161),0,Zusatzeingaben!C205+ZuschussKV!C17+ZuschussKV!C18+ZuschussKV!C51+ZuschussKV!C57)</f>
        <v>0</v>
      </c>
      <c r="D83" s="1117">
        <f>IF(AND(Zusatzeingaben!D161&gt;0,Zusatzeingaben!D164=Zusatzeingaben!D161),0,Zusatzeingaben!D205+ZuschussKV!D17+ZuschussKV!D18+ZuschussKV!D51+ZuschussKV!D57)</f>
        <v>0</v>
      </c>
      <c r="E83" s="1117">
        <f>IF(AND(Zusatzeingaben!E161&gt;0,Zusatzeingaben!E164=Zusatzeingaben!E161),0,Zusatzeingaben!E205+ZuschussKV!E17+ZuschussKV!E18+ZuschussKV!E51+ZuschussKV!E57)</f>
        <v>0</v>
      </c>
      <c r="F83" s="1117">
        <f>IF(AND(Zusatzeingaben!F161&gt;0,Zusatzeingaben!F164=Zusatzeingaben!F161),0,Zusatzeingaben!F205+ZuschussKV!F17+ZuschussKV!F18+ZuschussKV!F51+ZuschussKV!F57)</f>
        <v>0</v>
      </c>
      <c r="G83" s="1117">
        <f>IF(AND(Zusatzeingaben!G161&gt;0,Zusatzeingaben!G164=Zusatzeingaben!G161),0,Zusatzeingaben!G205+ZuschussKV!G17+ZuschussKV!G18+ZuschussKV!G51+ZuschussKV!G57)</f>
        <v>0</v>
      </c>
      <c r="H83" s="1117">
        <f>IF(AND(Zusatzeingaben!H161&gt;0,Zusatzeingaben!H164=Zusatzeingaben!H161),0,Zusatzeingaben!H205+ZuschussKV!H17+ZuschussKV!H18+ZuschussKV!H51+ZuschussKV!H57)</f>
        <v>0</v>
      </c>
      <c r="I83" s="1125">
        <f>IF(AND(Zusatzeingaben!I161&gt;0,Zusatzeingaben!I164=Zusatzeingaben!I161),0,Zusatzeingaben!I205+ZuschussKV!I17+ZuschussKV!I18+ZuschussKV!I51+ZuschussKV!I57)</f>
        <v>0</v>
      </c>
      <c r="J83" s="805"/>
      <c r="K83" s="563"/>
    </row>
    <row r="84" spans="1:11" ht="18" hidden="1" customHeight="1">
      <c r="A84" s="979"/>
      <c r="B84" s="1124"/>
      <c r="C84" s="1117">
        <f>IF(AND(Zusatzeingaben!C215&gt;C113,C78&lt;&gt;Zusatzeingaben!C204),C83,0)</f>
        <v>0</v>
      </c>
      <c r="D84" s="1117">
        <f>IF(AND(Zusatzeingaben!D215&gt;D113,D78&lt;&gt;Zusatzeingaben!D204),D83,0)</f>
        <v>0</v>
      </c>
      <c r="E84" s="1117">
        <f>IF(AND(Zusatzeingaben!E215&gt;E113,E78&lt;&gt;Zusatzeingaben!E204),E83,0)</f>
        <v>0</v>
      </c>
      <c r="F84" s="1117">
        <f>IF(AND(Zusatzeingaben!F215&gt;F113,F78&lt;&gt;Zusatzeingaben!F204),F83,0)</f>
        <v>0</v>
      </c>
      <c r="G84" s="1117">
        <f>IF(AND(Zusatzeingaben!G215&gt;G113,G78&lt;&gt;Zusatzeingaben!G204),G83,0)</f>
        <v>0</v>
      </c>
      <c r="H84" s="1117">
        <f>IF(AND(Zusatzeingaben!H215&gt;H113,H78&lt;&gt;Zusatzeingaben!H204),H83,0)</f>
        <v>0</v>
      </c>
      <c r="I84" s="1118">
        <f>IF(AND(Zusatzeingaben!I215&gt;I113,I78&lt;&gt;Zusatzeingaben!I204),I83,0)</f>
        <v>0</v>
      </c>
      <c r="J84" s="805"/>
      <c r="K84" s="563"/>
    </row>
    <row r="85" spans="1:11" ht="18" hidden="1" customHeight="1">
      <c r="A85" s="979"/>
      <c r="B85" s="1124"/>
      <c r="C85" s="1117">
        <f>IF(AND(ZuschussKV!C27=0,C113=0),Zusatzeingaben!C205,IF(AND(C113=0,ZuschussKV!C45=0,ZuschussKV!C18&gt;0),Zusatzeingaben!C205+ZuschussKV!C17+ZuschussKV!C18,IF(AND(OR(ZuschussKV!C51&gt;0,ZuschussKV!C57&gt;0),C113=0),Zusatzeingaben!C205+ZuschussKV!C51+ZuschussKV!C57,0)))</f>
        <v>0</v>
      </c>
      <c r="D85" s="1117">
        <f>IF(AND(ZuschussKV!D27=0,D113=0),Zusatzeingaben!D205,IF(AND(D113=0,ZuschussKV!D45=0,ZuschussKV!D18&gt;0),Zusatzeingaben!D205+ZuschussKV!D17+ZuschussKV!D18,IF(AND(OR(ZuschussKV!D51&gt;0,ZuschussKV!D57&gt;0),D113=0),Zusatzeingaben!D205+ZuschussKV!D51+ZuschussKV!D57,0)))</f>
        <v>0</v>
      </c>
      <c r="E85" s="1117">
        <f>IF(AND(ZuschussKV!E27=0,E113=0),Zusatzeingaben!E205,IF(AND(E113=0,ZuschussKV!E45=0,ZuschussKV!E18&gt;0),Zusatzeingaben!E205+ZuschussKV!E17+ZuschussKV!E18,IF(AND(OR(ZuschussKV!E51&gt;0,ZuschussKV!E57&gt;0),E113=0),Zusatzeingaben!E205+ZuschussKV!E51+ZuschussKV!E57,0)))</f>
        <v>0</v>
      </c>
      <c r="F85" s="1117">
        <f>IF(AND(ZuschussKV!F27=0,F113=0),Zusatzeingaben!F205,IF(AND(F113=0,ZuschussKV!F45=0,ZuschussKV!F18&gt;0),Zusatzeingaben!F205+ZuschussKV!F17+ZuschussKV!F18,IF(AND(OR(ZuschussKV!F51&gt;0,ZuschussKV!F57&gt;0),F113=0),Zusatzeingaben!F205+ZuschussKV!F51+ZuschussKV!F57,0)))</f>
        <v>0</v>
      </c>
      <c r="G85" s="1117">
        <f>IF(AND(ZuschussKV!G27=0,G113=0),Zusatzeingaben!G205,IF(AND(G113=0,ZuschussKV!G45=0,ZuschussKV!G18&gt;0),Zusatzeingaben!G205+ZuschussKV!G17+ZuschussKV!G18,IF(AND(OR(ZuschussKV!G51&gt;0,ZuschussKV!G57&gt;0),G113=0),Zusatzeingaben!G205+ZuschussKV!G51+ZuschussKV!G57,0)))</f>
        <v>0</v>
      </c>
      <c r="H85" s="1117">
        <f>IF(AND(ZuschussKV!H27=0,H113=0),Zusatzeingaben!H205,IF(AND(H113=0,ZuschussKV!H45=0,ZuschussKV!H18&gt;0),Zusatzeingaben!H205+ZuschussKV!H17+ZuschussKV!H18,IF(AND(OR(ZuschussKV!H51&gt;0,ZuschussKV!H57&gt;0),H113=0),Zusatzeingaben!H205+ZuschussKV!H51+ZuschussKV!H57,0)))</f>
        <v>0</v>
      </c>
      <c r="I85" s="1125">
        <f>IF(AND(ZuschussKV!I27=0,I113=0),Zusatzeingaben!I205,IF(AND(I113=0,ZuschussKV!I45=0,ZuschussKV!I18&gt;0),Zusatzeingaben!I205+ZuschussKV!I17+ZuschussKV!I18,IF(AND(OR(ZuschussKV!I51&gt;0,ZuschussKV!I57&gt;0),I113=0),Zusatzeingaben!I205+ZuschussKV!I51+ZuschussKV!I57,0)))</f>
        <v>0</v>
      </c>
      <c r="J85" s="805"/>
      <c r="K85" s="563"/>
    </row>
    <row r="86" spans="1:11" ht="18" hidden="1" customHeight="1">
      <c r="A86" s="979"/>
      <c r="B86" s="1124"/>
      <c r="C86" s="1117">
        <f>IF(C85=Zusatzeingaben!C205+ZuschussKV!C17+ZuschussKV!C18+ZuschussKV!C51+ZuschussKV!C57,C85,C84)</f>
        <v>0</v>
      </c>
      <c r="D86" s="1117">
        <f>IF(D85=Zusatzeingaben!D205+ZuschussKV!D17+ZuschussKV!D18+ZuschussKV!D51+ZuschussKV!D57,D85,D84)</f>
        <v>0</v>
      </c>
      <c r="E86" s="1117">
        <f>IF(E85=Zusatzeingaben!E205+ZuschussKV!E17+ZuschussKV!E18+ZuschussKV!E51+ZuschussKV!E57,E85,E84)</f>
        <v>0</v>
      </c>
      <c r="F86" s="1117">
        <f>IF(F85=Zusatzeingaben!F205+ZuschussKV!F17+ZuschussKV!F18+ZuschussKV!F51+ZuschussKV!F57,F85,F84)</f>
        <v>0</v>
      </c>
      <c r="G86" s="1117">
        <f>IF(G85=Zusatzeingaben!G205+ZuschussKV!G17+ZuschussKV!G18+ZuschussKV!G51+ZuschussKV!G57,G85,G84)</f>
        <v>0</v>
      </c>
      <c r="H86" s="1117">
        <f>IF(H85=Zusatzeingaben!H205+ZuschussKV!H17+ZuschussKV!H18+ZuschussKV!H51+ZuschussKV!H57,H85,H84)</f>
        <v>0</v>
      </c>
      <c r="I86" s="1125">
        <f>IF(I85=Zusatzeingaben!I205+ZuschussKV!I17+ZuschussKV!I18+ZuschussKV!I51+ZuschussKV!I57,I85,I84)</f>
        <v>0</v>
      </c>
      <c r="J86" s="805"/>
    </row>
    <row r="87" spans="1:11" ht="18" customHeight="1">
      <c r="A87" s="922">
        <f>IF(B87&gt;0,"./. Beiträge Krankheit/ Alter/ ZVK",0)</f>
        <v>0</v>
      </c>
      <c r="B87" s="1124">
        <f>SUM(C87:I87)</f>
        <v>0</v>
      </c>
      <c r="C87" s="915">
        <f>IF(C70=0,0,IF(AND(C114&gt;0,C54&lt;=400),0,IF(AND(C114&gt;0,Zusatzeingaben!C141=0),0,IF(AND(C120=Zusatzeingaben!C189,C61&gt;0,Zusatzeingaben!C189&gt;0),0,C86))))</f>
        <v>0</v>
      </c>
      <c r="D87" s="915">
        <f>IF(D70=0,0,IF(AND(D114&gt;0,D54&lt;=400),0,IF(AND(D114&gt;0,Zusatzeingaben!D141=0),0,IF(AND(D120=Zusatzeingaben!D189,D61&gt;0,Zusatzeingaben!D189&gt;0),0,D86))))</f>
        <v>0</v>
      </c>
      <c r="E87" s="915">
        <f>IF(E70=0,0,IF(AND(E114&gt;0,E54&lt;=400),0,IF(AND(E114&gt;0,Zusatzeingaben!E141=0),0,IF(AND(E120=Zusatzeingaben!E189,E61&gt;0,Zusatzeingaben!E189&gt;0),0,E86))))</f>
        <v>0</v>
      </c>
      <c r="F87" s="915">
        <f>IF(F70=0,0,IF(AND(F114&gt;0,F54&lt;=400),0,IF(AND(F114&gt;0,Zusatzeingaben!F141=0),0,IF(AND(F120=Zusatzeingaben!F189,F61&gt;0,Zusatzeingaben!F189&gt;0),0,F86))))</f>
        <v>0</v>
      </c>
      <c r="G87" s="915">
        <f>IF(G70=0,0,IF(AND(G114&gt;0,G54&lt;=400),0,IF(AND(G114&gt;0,Zusatzeingaben!G141=0),0,IF(AND(G120=Zusatzeingaben!G189,G61&gt;0,Zusatzeingaben!G189&gt;0),0,G86))))</f>
        <v>0</v>
      </c>
      <c r="H87" s="915">
        <f>IF(H70=0,0,IF(AND(H114&gt;0,H54&lt;=400),0,IF(AND(H114&gt;0,Zusatzeingaben!H141=0),0,IF(AND(H120=Zusatzeingaben!H189,H61&gt;0,Zusatzeingaben!H189&gt;0),0,H86))))</f>
        <v>0</v>
      </c>
      <c r="I87" s="916">
        <f>IF(I70=0,0,IF(AND(I114&gt;0,I54&lt;=400),0,IF(AND(I114&gt;0,Zusatzeingaben!I141=0),0,IF(AND(I120=Zusatzeingaben!I189,I61&gt;0,Zusatzeingaben!I189&gt;0),0,I86))))</f>
        <v>0</v>
      </c>
      <c r="J87" s="805"/>
    </row>
    <row r="88" spans="1:11" ht="16.5" hidden="1" customHeight="1">
      <c r="A88" s="979"/>
      <c r="B88" s="1124"/>
      <c r="C88" s="1117">
        <f>IF(AND(Zusatzeingaben!C161&gt;0,Zusatzeingaben!C164=Zusatzeingaben!C161),0,Zusatzeingaben!C213)</f>
        <v>0</v>
      </c>
      <c r="D88" s="1117">
        <f>IF(AND(Zusatzeingaben!D161&gt;0,Zusatzeingaben!D164=Zusatzeingaben!D161),0,Zusatzeingaben!D213)</f>
        <v>0</v>
      </c>
      <c r="E88" s="1117">
        <f>IF(AND(Zusatzeingaben!E161&gt;0,Zusatzeingaben!E164=Zusatzeingaben!E161),0,Zusatzeingaben!E213)</f>
        <v>0</v>
      </c>
      <c r="F88" s="1117">
        <f>IF(AND(Zusatzeingaben!F161&gt;0,Zusatzeingaben!F164=Zusatzeingaben!F161),0,Zusatzeingaben!F213)</f>
        <v>0</v>
      </c>
      <c r="G88" s="1117">
        <f>IF(AND(Zusatzeingaben!G161&gt;0,Zusatzeingaben!G164=Zusatzeingaben!G161),0,Zusatzeingaben!G213)</f>
        <v>0</v>
      </c>
      <c r="H88" s="1117">
        <f>IF(AND(Zusatzeingaben!H161&gt;0,Zusatzeingaben!H164=Zusatzeingaben!H161),0,Zusatzeingaben!H213)</f>
        <v>0</v>
      </c>
      <c r="I88" s="1118">
        <f>IF(AND(Zusatzeingaben!I161&gt;0,Zusatzeingaben!I164=Zusatzeingaben!I161),0,Zusatzeingaben!I213)</f>
        <v>0</v>
      </c>
      <c r="J88" s="805"/>
    </row>
    <row r="89" spans="1:11" ht="16.5" hidden="1" customHeight="1">
      <c r="A89" s="979"/>
      <c r="B89" s="1124"/>
      <c r="C89" s="1117">
        <f>IF(AND(Zusatzeingaben!C215&gt;C113,C78&lt;&gt;Zusatzeingaben!C204),C88,0)</f>
        <v>0</v>
      </c>
      <c r="D89" s="1117">
        <f>IF(AND(Zusatzeingaben!D215&gt;D113,D78&lt;&gt;Zusatzeingaben!D204),D88,0)</f>
        <v>0</v>
      </c>
      <c r="E89" s="1117">
        <f>IF(AND(Zusatzeingaben!E215&gt;E113,E78&lt;&gt;Zusatzeingaben!E204),E88,0)</f>
        <v>0</v>
      </c>
      <c r="F89" s="1117">
        <f>IF(AND(Zusatzeingaben!F215&gt;F113,F78&lt;&gt;Zusatzeingaben!F204),F88,0)</f>
        <v>0</v>
      </c>
      <c r="G89" s="1117">
        <f>IF(AND(Zusatzeingaben!G215&gt;G113,G78&lt;&gt;Zusatzeingaben!G204),G88,0)</f>
        <v>0</v>
      </c>
      <c r="H89" s="1117">
        <f>IF(AND(Zusatzeingaben!H215&gt;H113,H78&lt;&gt;Zusatzeingaben!H204),H88,0)</f>
        <v>0</v>
      </c>
      <c r="I89" s="1118">
        <f>IF(AND(Zusatzeingaben!I215&gt;I113,I78&lt;&gt;Zusatzeingaben!I204),I88,0)</f>
        <v>0</v>
      </c>
      <c r="J89" s="805"/>
    </row>
    <row r="90" spans="1:11" ht="16.5" hidden="1" customHeight="1">
      <c r="A90" s="979"/>
      <c r="B90" s="1124"/>
      <c r="C90" s="1117">
        <f>IF(C113=0,Zusatzeingaben!C212,0)</f>
        <v>0</v>
      </c>
      <c r="D90" s="1117">
        <f>IF(D113=0,Eingabetabelle!D219,0)</f>
        <v>0</v>
      </c>
      <c r="E90" s="1117">
        <f>IF(E113=0,Eingabetabelle!E219,0)</f>
        <v>0</v>
      </c>
      <c r="F90" s="1117">
        <f>IF(F113=0,Eingabetabelle!F219,0)</f>
        <v>0</v>
      </c>
      <c r="G90" s="1117">
        <f>IF(G113=0,Eingabetabelle!G219,0)</f>
        <v>0</v>
      </c>
      <c r="H90" s="1117">
        <f>IF(H113=0,Eingabetabelle!H219,0)</f>
        <v>0</v>
      </c>
      <c r="I90" s="1117">
        <f>IF(I113=0,Eingabetabelle!I219,0)</f>
        <v>0</v>
      </c>
      <c r="J90" s="805"/>
    </row>
    <row r="91" spans="1:11" ht="16.5" hidden="1" customHeight="1">
      <c r="A91" s="979"/>
      <c r="B91" s="1124"/>
      <c r="C91" s="1117">
        <f>IF(C90=Zusatzeingaben!C212,C90,C89)</f>
        <v>0</v>
      </c>
      <c r="D91" s="1117">
        <f>IF(D90=Eingabetabelle!D219,D90,D89)</f>
        <v>0</v>
      </c>
      <c r="E91" s="1117">
        <f>IF(E90=Eingabetabelle!E219,E90,E89)</f>
        <v>0</v>
      </c>
      <c r="F91" s="1117">
        <f>IF(F90=Eingabetabelle!F219,F90,F89)</f>
        <v>0</v>
      </c>
      <c r="G91" s="1117">
        <f>IF(G90=Eingabetabelle!G219,G90,G89)</f>
        <v>0</v>
      </c>
      <c r="H91" s="1117">
        <f>IF(H90=Eingabetabelle!H219,H90,H89)</f>
        <v>0</v>
      </c>
      <c r="I91" s="1117">
        <f>IF(I90=Eingabetabelle!I219,I90,I89)</f>
        <v>0</v>
      </c>
      <c r="J91" s="805"/>
    </row>
    <row r="92" spans="1:11" ht="17.25">
      <c r="A92" s="922">
        <f>IF(B92&gt;0,"./. Beiträge Riester-Rente",0)</f>
        <v>0</v>
      </c>
      <c r="B92" s="1124">
        <f>SUM(C92:I92)</f>
        <v>0</v>
      </c>
      <c r="C92" s="915">
        <f>IF(C70=0,0,IF(AND(C114&gt;0,C54&lt;=400),0,IF(AND(C114&gt;0,Eingabetabelle!C149=0),0,IF(AND(C120=Eingabetabelle!C196,C61&gt;0,Eingabetabelle!C196&gt;0),0,C91))))</f>
        <v>0</v>
      </c>
      <c r="D92" s="915">
        <f>IF(D70=0,0,IF(AND(D114&gt;0,D54&lt;=400),0,IF(AND(D114&gt;0,Eingabetabelle!D149=0),0,IF(AND(D120=Eingabetabelle!D196,D61&gt;0,Eingabetabelle!D196&gt;0),0,D91))))</f>
        <v>0</v>
      </c>
      <c r="E92" s="915">
        <f>IF(E70=0,0,IF(AND(E114&gt;0,E54&lt;=400),0,IF(AND(E114&gt;0,Eingabetabelle!E149=0),0,IF(AND(E120=Eingabetabelle!E196,E61&gt;0,Eingabetabelle!E196&gt;0),0,E91))))</f>
        <v>0</v>
      </c>
      <c r="F92" s="915">
        <f>IF(F70=0,0,IF(AND(F114&gt;0,F54&lt;=400),0,IF(AND(F114&gt;0,Eingabetabelle!F149=0),0,IF(AND(F120=Eingabetabelle!F196,F61&gt;0,Eingabetabelle!F196&gt;0),0,F91))))</f>
        <v>0</v>
      </c>
      <c r="G92" s="915">
        <f>IF(G70=0,0,IF(AND(G114&gt;0,G54&lt;=400),0,IF(AND(G114&gt;0,Eingabetabelle!G149=0),0,IF(AND(G120=Eingabetabelle!G196,G61&gt;0,Eingabetabelle!G196&gt;0),0,G91))))</f>
        <v>0</v>
      </c>
      <c r="H92" s="915">
        <f>IF(H70=0,0,IF(AND(H114&gt;0,H54&lt;=400),0,IF(AND(H114&gt;0,Eingabetabelle!H149=0),0,IF(AND(H120=Eingabetabelle!H196,H61&gt;0,Eingabetabelle!H196&gt;0),0,H91))))</f>
        <v>0</v>
      </c>
      <c r="I92" s="915">
        <f>IF(I70=0,0,IF(AND(I114&gt;0,I54&lt;=400),0,IF(AND(I114&gt;0,Eingabetabelle!I149=0),0,IF(AND(I120=Eingabetabelle!I196,I61&gt;0,Eingabetabelle!I196&gt;0),0,I91))))</f>
        <v>0</v>
      </c>
      <c r="J92" s="805"/>
    </row>
    <row r="93" spans="1:11" ht="17.25" hidden="1">
      <c r="A93" s="922"/>
      <c r="B93" s="1124"/>
      <c r="C93" s="1117">
        <f>IF(AND(Zusatzeingaben!C161&gt;0,Zusatzeingaben!C164=Zusatzeingaben!C161),0,Zusatzeingaben!C127)</f>
        <v>0</v>
      </c>
      <c r="D93" s="1117">
        <f>IF(AND(Zusatzeingaben!D161&gt;0,Zusatzeingaben!D164=Zusatzeingaben!D161),0,Zusatzeingaben!D127)</f>
        <v>0</v>
      </c>
      <c r="E93" s="1117">
        <f>IF(AND(Zusatzeingaben!E161&gt;0,Zusatzeingaben!E164=Zusatzeingaben!E161),0,Zusatzeingaben!E127)</f>
        <v>0</v>
      </c>
      <c r="F93" s="1117">
        <f>IF(AND(Zusatzeingaben!F161&gt;0,Zusatzeingaben!F164=Zusatzeingaben!F161),0,Zusatzeingaben!F127)</f>
        <v>0</v>
      </c>
      <c r="G93" s="1117">
        <f>IF(AND(Zusatzeingaben!G161&gt;0,Zusatzeingaben!G164=Zusatzeingaben!G161),0,Zusatzeingaben!G127)</f>
        <v>0</v>
      </c>
      <c r="H93" s="1117">
        <f>IF(AND(Zusatzeingaben!H161&gt;0,Zusatzeingaben!H164=Zusatzeingaben!H161),0,Zusatzeingaben!H127)</f>
        <v>0</v>
      </c>
      <c r="I93" s="1118">
        <f>IF(AND(Zusatzeingaben!I161&gt;0,Zusatzeingaben!I164=Zusatzeingaben!I161),0,Zusatzeingaben!I127)</f>
        <v>0</v>
      </c>
      <c r="J93" s="805"/>
    </row>
    <row r="94" spans="1:11" ht="17.25" hidden="1">
      <c r="A94" s="1126"/>
      <c r="B94" s="1124"/>
      <c r="C94" s="1117">
        <f>IF(AND(Zusatzeingaben!C215&gt;C113,C78&lt;&gt;Zusatzeingaben!C127),C93,0)</f>
        <v>0</v>
      </c>
      <c r="D94" s="1117">
        <f>IF(AND(Zusatzeingaben!D215&gt;D113,D78&lt;&gt;Zusatzeingaben!D127),D93,0)</f>
        <v>0</v>
      </c>
      <c r="E94" s="1117">
        <f>IF(AND(Zusatzeingaben!E215&gt;E113,E78&lt;&gt;Zusatzeingaben!E127),E93,0)</f>
        <v>0</v>
      </c>
      <c r="F94" s="1117">
        <f>IF(AND(Zusatzeingaben!F215&gt;F113,F78&lt;&gt;Zusatzeingaben!F127),F93,0)</f>
        <v>0</v>
      </c>
      <c r="G94" s="1117">
        <f>IF(AND(Zusatzeingaben!G215&gt;G113,G78&lt;&gt;Zusatzeingaben!G127),G93,0)</f>
        <v>0</v>
      </c>
      <c r="H94" s="1117">
        <f>IF(AND(Zusatzeingaben!H215&gt;H113,H78&lt;&gt;Zusatzeingaben!H127),H93,0)</f>
        <v>0</v>
      </c>
      <c r="I94" s="1118">
        <f>IF(AND(Zusatzeingaben!I215&gt;I113,I78&lt;&gt;Zusatzeingaben!I127),I93,0)</f>
        <v>0</v>
      </c>
      <c r="J94" s="805"/>
    </row>
    <row r="95" spans="1:11" ht="17.25" hidden="1">
      <c r="A95" s="922"/>
      <c r="B95" s="1124"/>
      <c r="C95" s="1117">
        <f>IF(C113=0,Zusatzeingaben!C127,0)</f>
        <v>0</v>
      </c>
      <c r="D95" s="1117">
        <f>IF(D113=0,Zusatzeingaben!D127,0)</f>
        <v>0</v>
      </c>
      <c r="E95" s="1117">
        <f>IF(E113=0,Zusatzeingaben!E127,0)</f>
        <v>0</v>
      </c>
      <c r="F95" s="1117">
        <f>IF(F113=0,Zusatzeingaben!F127,0)</f>
        <v>0</v>
      </c>
      <c r="G95" s="1117">
        <f>IF(G113=0,Zusatzeingaben!G127,0)</f>
        <v>0</v>
      </c>
      <c r="H95" s="1117">
        <f>IF(H113=0,Zusatzeingaben!H127,0)</f>
        <v>0</v>
      </c>
      <c r="I95" s="1118">
        <f>IF(I113=0,Zusatzeingaben!I127,0)</f>
        <v>0</v>
      </c>
      <c r="J95" s="805"/>
    </row>
    <row r="96" spans="1:11" ht="17.25" hidden="1">
      <c r="A96" s="922"/>
      <c r="B96" s="1124"/>
      <c r="C96" s="1117">
        <f>IF(C95=Zusatzeingaben!C127,C95,C94)</f>
        <v>0</v>
      </c>
      <c r="D96" s="1117">
        <f>IF(D95=Zusatzeingaben!D127,D95,D94)</f>
        <v>0</v>
      </c>
      <c r="E96" s="1117">
        <f>IF(E95=Zusatzeingaben!E127,E95,E94)</f>
        <v>0</v>
      </c>
      <c r="F96" s="1117">
        <f>IF(F95=Zusatzeingaben!F127,F95,F94)</f>
        <v>0</v>
      </c>
      <c r="G96" s="1117">
        <f>IF(G95=Zusatzeingaben!G127,G95,G94)</f>
        <v>0</v>
      </c>
      <c r="H96" s="1117">
        <f>IF(H95=Zusatzeingaben!H127,H95,H94)</f>
        <v>0</v>
      </c>
      <c r="I96" s="1118">
        <f>IF(I95=Zusatzeingaben!I127,I95,I94)</f>
        <v>0</v>
      </c>
      <c r="J96" s="805"/>
    </row>
    <row r="97" spans="1:10" ht="17.25" hidden="1">
      <c r="A97" s="1126"/>
      <c r="B97" s="1124"/>
      <c r="C97" s="1117">
        <f>IF(Zusatzeingaben!C140=0,0,C96)</f>
        <v>0</v>
      </c>
      <c r="D97" s="1117">
        <f>IF(Zusatzeingaben!D140=0,0,D96)</f>
        <v>0</v>
      </c>
      <c r="E97" s="1117">
        <f>IF(Zusatzeingaben!E140=0,0,E96)</f>
        <v>0</v>
      </c>
      <c r="F97" s="1117">
        <f>IF(Zusatzeingaben!F140=0,0,F96)</f>
        <v>0</v>
      </c>
      <c r="G97" s="1117">
        <f>IF(Zusatzeingaben!G140=0,0,G96)</f>
        <v>0</v>
      </c>
      <c r="H97" s="1117">
        <f>IF(Zusatzeingaben!H140=0,0,H96)</f>
        <v>0</v>
      </c>
      <c r="I97" s="1118">
        <f>IF(Zusatzeingaben!I140=0,0,I96)</f>
        <v>0</v>
      </c>
      <c r="J97" s="805"/>
    </row>
    <row r="98" spans="1:10" ht="17.25">
      <c r="A98" s="922">
        <f>IF(B98&gt;0,"./. Fahrtkosten",0)</f>
        <v>0</v>
      </c>
      <c r="B98" s="1093">
        <f>SUM(C98:I98)</f>
        <v>0</v>
      </c>
      <c r="C98" s="915">
        <f t="shared" ref="C98:I98" si="9">IF(AND(C114&gt;0,C54&lt;=400),0,IF(C75&lt;0,C97+C75,IF(C70=0,0,C97)))</f>
        <v>0</v>
      </c>
      <c r="D98" s="915">
        <f t="shared" si="9"/>
        <v>0</v>
      </c>
      <c r="E98" s="915">
        <f t="shared" si="9"/>
        <v>0</v>
      </c>
      <c r="F98" s="915">
        <f t="shared" si="9"/>
        <v>0</v>
      </c>
      <c r="G98" s="915">
        <f t="shared" si="9"/>
        <v>0</v>
      </c>
      <c r="H98" s="915">
        <f t="shared" si="9"/>
        <v>0</v>
      </c>
      <c r="I98" s="916">
        <f t="shared" si="9"/>
        <v>0</v>
      </c>
      <c r="J98" s="805"/>
    </row>
    <row r="99" spans="1:10" ht="17.25" hidden="1">
      <c r="A99" s="922"/>
      <c r="B99" s="1093"/>
      <c r="C99" s="1117">
        <f>IF(AND(Zusatzeingaben!C161&gt;0,Zusatzeingaben!C164=Zusatzeingaben!C161),0,Zusatzeingaben!C124)</f>
        <v>0</v>
      </c>
      <c r="D99" s="1117">
        <f>IF(AND(Zusatzeingaben!D161&gt;0,Zusatzeingaben!D164=Zusatzeingaben!D161),0,Zusatzeingaben!D124)</f>
        <v>0</v>
      </c>
      <c r="E99" s="1117">
        <f>IF(AND(Zusatzeingaben!E161&gt;0,Zusatzeingaben!E164=Zusatzeingaben!E161),0,Zusatzeingaben!E124)</f>
        <v>0</v>
      </c>
      <c r="F99" s="1117">
        <f>IF(AND(Zusatzeingaben!F161&gt;0,Zusatzeingaben!F164=Zusatzeingaben!F161),0,Zusatzeingaben!F124)</f>
        <v>0</v>
      </c>
      <c r="G99" s="1117">
        <f>IF(AND(Zusatzeingaben!G161&gt;0,Zusatzeingaben!G164=Zusatzeingaben!G161),0,Zusatzeingaben!G124)</f>
        <v>0</v>
      </c>
      <c r="H99" s="1117">
        <f>IF(AND(Zusatzeingaben!H161&gt;0,Zusatzeingaben!H164=Zusatzeingaben!H161),0,Zusatzeingaben!H124)</f>
        <v>0</v>
      </c>
      <c r="I99" s="1118">
        <f>IF(AND(Zusatzeingaben!I161&gt;0,Zusatzeingaben!I164=Zusatzeingaben!I161),0,Zusatzeingaben!I124)</f>
        <v>0</v>
      </c>
      <c r="J99" s="805"/>
    </row>
    <row r="100" spans="1:10" ht="17.25" hidden="1">
      <c r="A100" s="1126"/>
      <c r="B100" s="1093"/>
      <c r="C100" s="1117">
        <f>IF(AND(Zusatzeingaben!C215&gt;C113,C78&lt;&gt;Zusatzeingaben!C124),C99,0)</f>
        <v>0</v>
      </c>
      <c r="D100" s="1117">
        <f>IF(AND(Zusatzeingaben!D215&gt;D113,D78&lt;&gt;Zusatzeingaben!D124),D99,0)</f>
        <v>0</v>
      </c>
      <c r="E100" s="1117">
        <f>IF(AND(Zusatzeingaben!E215&gt;E113,E78&lt;&gt;Zusatzeingaben!E124),E99,0)</f>
        <v>0</v>
      </c>
      <c r="F100" s="1117">
        <f>IF(AND(Zusatzeingaben!F215&gt;F113,F78&lt;&gt;Zusatzeingaben!F124),F99,0)</f>
        <v>0</v>
      </c>
      <c r="G100" s="1117">
        <f>IF(AND(Zusatzeingaben!G215&gt;G113,G78&lt;&gt;Zusatzeingaben!G124),G99,0)</f>
        <v>0</v>
      </c>
      <c r="H100" s="1117">
        <f>IF(AND(Zusatzeingaben!H215&gt;H113,H78&lt;&gt;Zusatzeingaben!H124),H99,0)</f>
        <v>0</v>
      </c>
      <c r="I100" s="1118">
        <f>IF(AND(Zusatzeingaben!I215&gt;I113,I78&lt;&gt;Zusatzeingaben!I124),I99,0)</f>
        <v>0</v>
      </c>
      <c r="J100" s="805"/>
    </row>
    <row r="101" spans="1:10" ht="17.25" hidden="1">
      <c r="A101" s="922"/>
      <c r="B101" s="1093"/>
      <c r="C101" s="1117">
        <f>IF(C113=0,Zusatzeingaben!C124,0)</f>
        <v>0</v>
      </c>
      <c r="D101" s="1117">
        <f>IF(D113=0,Zusatzeingaben!D124,0)</f>
        <v>0</v>
      </c>
      <c r="E101" s="1117">
        <f>IF(E113=0,Zusatzeingaben!E124,0)</f>
        <v>0</v>
      </c>
      <c r="F101" s="1117">
        <f>IF(F113=0,Zusatzeingaben!F124,0)</f>
        <v>0</v>
      </c>
      <c r="G101" s="1117">
        <f>IF(G113=0,Zusatzeingaben!G124,0)</f>
        <v>0</v>
      </c>
      <c r="H101" s="1117">
        <f>IF(H113=0,Zusatzeingaben!H124,0)</f>
        <v>0</v>
      </c>
      <c r="I101" s="1118">
        <f>IF(I113=0,Zusatzeingaben!I124,0)</f>
        <v>0</v>
      </c>
      <c r="J101" s="805"/>
    </row>
    <row r="102" spans="1:10" ht="17.25" hidden="1">
      <c r="A102" s="922"/>
      <c r="B102" s="1093"/>
      <c r="C102" s="1117">
        <f>IF(C101=Zusatzeingaben!C124,C101,C99)</f>
        <v>0</v>
      </c>
      <c r="D102" s="1117">
        <f>IF(D101=Zusatzeingaben!D124,D101,D99)</f>
        <v>0</v>
      </c>
      <c r="E102" s="1117">
        <f>IF(E101=Zusatzeingaben!E124,E101,E99)</f>
        <v>0</v>
      </c>
      <c r="F102" s="1117">
        <f>IF(F101=Zusatzeingaben!F124,F101,F99)</f>
        <v>0</v>
      </c>
      <c r="G102" s="1117">
        <f>IF(G101=Zusatzeingaben!G124,G101,G99)</f>
        <v>0</v>
      </c>
      <c r="H102" s="1117">
        <f>IF(H101=Zusatzeingaben!H124,H101,H99)</f>
        <v>0</v>
      </c>
      <c r="I102" s="1118">
        <f>IF(I101=Zusatzeingaben!I124,I101,I99)</f>
        <v>0</v>
      </c>
      <c r="J102" s="805"/>
    </row>
    <row r="103" spans="1:10" ht="17.25" hidden="1">
      <c r="A103" s="1126"/>
      <c r="B103" s="1093"/>
      <c r="C103" s="1117">
        <f>IF(Zusatzeingaben!C140=0,0,C102)</f>
        <v>0</v>
      </c>
      <c r="D103" s="1117">
        <f>IF(Zusatzeingaben!D140=0,0,D102)</f>
        <v>0</v>
      </c>
      <c r="E103" s="1117">
        <f>IF(Zusatzeingaben!E140=0,0,E102)</f>
        <v>0</v>
      </c>
      <c r="F103" s="1117">
        <f>IF(Zusatzeingaben!F140=0,0,F102)</f>
        <v>0</v>
      </c>
      <c r="G103" s="1117">
        <f>IF(Zusatzeingaben!G140=0,0,G102)</f>
        <v>0</v>
      </c>
      <c r="H103" s="1117">
        <f>IF(Zusatzeingaben!H140=0,0,H102)</f>
        <v>0</v>
      </c>
      <c r="I103" s="1118">
        <f>IF(Zusatzeingaben!I140=0,0,I102)</f>
        <v>0</v>
      </c>
      <c r="J103" s="805"/>
    </row>
    <row r="104" spans="1:10" ht="17.25">
      <c r="A104" s="922">
        <f>IF(B104&gt;0,"./. Verpflegungsmehraufwand",0)</f>
        <v>0</v>
      </c>
      <c r="B104" s="1093">
        <f>SUM(C104:I104)</f>
        <v>0</v>
      </c>
      <c r="C104" s="1127">
        <f t="shared" ref="C104:I104" si="10">IF(AND(C114&gt;0,C54&lt;=400),0,IF(C70=0,0,C103))</f>
        <v>0</v>
      </c>
      <c r="D104" s="1127">
        <f t="shared" si="10"/>
        <v>0</v>
      </c>
      <c r="E104" s="1127">
        <f t="shared" si="10"/>
        <v>0</v>
      </c>
      <c r="F104" s="1127">
        <f t="shared" si="10"/>
        <v>0</v>
      </c>
      <c r="G104" s="1127">
        <f t="shared" si="10"/>
        <v>0</v>
      </c>
      <c r="H104" s="1127">
        <f t="shared" si="10"/>
        <v>0</v>
      </c>
      <c r="I104" s="1128">
        <f t="shared" si="10"/>
        <v>0</v>
      </c>
      <c r="J104" s="805"/>
    </row>
    <row r="105" spans="1:10" ht="17.25" hidden="1">
      <c r="A105" s="922"/>
      <c r="B105" s="1093"/>
      <c r="C105" s="1117">
        <f>IF(AND(Zusatzeingaben!C161&gt;0,Zusatzeingaben!C164=Zusatzeingaben!C161),0,Zusatzeingaben!C149)</f>
        <v>0</v>
      </c>
      <c r="D105" s="1117">
        <f>IF(AND(Zusatzeingaben!D161&gt;0,Zusatzeingaben!D164=Zusatzeingaben!D161),0,Zusatzeingaben!D149)</f>
        <v>0</v>
      </c>
      <c r="E105" s="1117">
        <f>IF(AND(Zusatzeingaben!E161&gt;0,Zusatzeingaben!E164=Zusatzeingaben!E161),0,Zusatzeingaben!E149)</f>
        <v>0</v>
      </c>
      <c r="F105" s="1117">
        <f>IF(AND(Zusatzeingaben!F161&gt;0,Zusatzeingaben!F164=Zusatzeingaben!F161),0,Zusatzeingaben!F149)</f>
        <v>0</v>
      </c>
      <c r="G105" s="1117">
        <f>IF(AND(Zusatzeingaben!G161&gt;0,Zusatzeingaben!G164=Zusatzeingaben!G161),0,Zusatzeingaben!G149)</f>
        <v>0</v>
      </c>
      <c r="H105" s="1117">
        <f>IF(AND(Zusatzeingaben!H161&gt;0,Zusatzeingaben!H164=Zusatzeingaben!H161),0,Zusatzeingaben!H149)</f>
        <v>0</v>
      </c>
      <c r="I105" s="1118">
        <f>IF(AND(Zusatzeingaben!I161&gt;0,Zusatzeingaben!I164=Zusatzeingaben!I161),0,Zusatzeingaben!I149)</f>
        <v>0</v>
      </c>
      <c r="J105" s="805"/>
    </row>
    <row r="106" spans="1:10" ht="17.25" hidden="1">
      <c r="A106" s="922"/>
      <c r="B106" s="1093"/>
      <c r="C106" s="1117">
        <f>IF(C113=0,Zusatzeingaben!C149,0)</f>
        <v>0</v>
      </c>
      <c r="D106" s="1117">
        <f>IF(D113=0,Zusatzeingaben!D149,0)</f>
        <v>0</v>
      </c>
      <c r="E106" s="1117">
        <f>IF(E113=0,Zusatzeingaben!E149,0)</f>
        <v>0</v>
      </c>
      <c r="F106" s="1117">
        <f>IF(F113=0,Zusatzeingaben!F149,0)</f>
        <v>0</v>
      </c>
      <c r="G106" s="1117">
        <f>IF(G113=0,Zusatzeingaben!G149,0)</f>
        <v>0</v>
      </c>
      <c r="H106" s="1117">
        <f>IF(H113=0,Zusatzeingaben!H149,0)</f>
        <v>0</v>
      </c>
      <c r="I106" s="1118">
        <f>IF(I113=0,Zusatzeingaben!I149,0)</f>
        <v>0</v>
      </c>
      <c r="J106" s="805"/>
    </row>
    <row r="107" spans="1:10" ht="17.25" hidden="1">
      <c r="A107" s="979"/>
      <c r="B107" s="1093"/>
      <c r="C107" s="1117">
        <f t="shared" ref="C107:I107" si="11">IF(C106&gt;0,C106,C105)</f>
        <v>0</v>
      </c>
      <c r="D107" s="1117">
        <f t="shared" si="11"/>
        <v>0</v>
      </c>
      <c r="E107" s="1117">
        <f t="shared" si="11"/>
        <v>0</v>
      </c>
      <c r="F107" s="1117">
        <f t="shared" si="11"/>
        <v>0</v>
      </c>
      <c r="G107" s="1117">
        <f t="shared" si="11"/>
        <v>0</v>
      </c>
      <c r="H107" s="1117">
        <f t="shared" si="11"/>
        <v>0</v>
      </c>
      <c r="I107" s="1118">
        <f t="shared" si="11"/>
        <v>0</v>
      </c>
      <c r="J107" s="805"/>
    </row>
    <row r="108" spans="1:10" ht="17.25">
      <c r="A108" s="975">
        <f>IF(B108&gt;0,"./. Werbungskosten bei Erwerbstätigkeit",0)</f>
        <v>0</v>
      </c>
      <c r="B108" s="1093">
        <f>SUM(C108:I108)</f>
        <v>0</v>
      </c>
      <c r="C108" s="1117">
        <f>IF(AND(C114&gt;0,C54&lt;=400),0,IF(AND(C58&gt;200,Zusatzeingaben!C159&gt;Zusatzeingaben!C157),Zusatzeingaben!C148,IF(AND($A$57="Gewinn aus selbständiger Tätigkeit",C57&gt;0),0,IF(AND(C54&lt;100,C58&lt;200,C69&gt;0),0,C107))))</f>
        <v>0</v>
      </c>
      <c r="D108" s="1117">
        <f>IF(AND(D114&gt;0,D54&lt;=400),0,IF(AND(D58&gt;200,Zusatzeingaben!D159&gt;Zusatzeingaben!D157),Zusatzeingaben!D148,IF(AND($A$57="Gewinn aus selbständiger Tätigkeit",D57&gt;0),0,IF(AND(D54&lt;100,D58&lt;200,D69&gt;0),0,D107))))</f>
        <v>0</v>
      </c>
      <c r="E108" s="1117">
        <f>IF(AND(E114&gt;0,E54&lt;=400),0,IF(AND(E58&gt;200,Zusatzeingaben!E159&gt;Zusatzeingaben!E157),Zusatzeingaben!E148,IF(AND($A$57="Gewinn aus selbständiger Tätigkeit",E57&gt;0),0,IF(AND(E54&lt;100,E58&lt;200,E69&gt;0),0,E107))))</f>
        <v>0</v>
      </c>
      <c r="F108" s="1117">
        <f>IF(AND(F114&gt;0,F54&lt;=400),0,IF(AND(F58&gt;200,Zusatzeingaben!F159&gt;Zusatzeingaben!F157),Zusatzeingaben!F148,IF(AND($A$57="Gewinn aus selbständiger Tätigkeit",F57&gt;0),0,IF(AND(F54&lt;100,F58&lt;200,F69&gt;0),0,F107))))</f>
        <v>0</v>
      </c>
      <c r="G108" s="1117">
        <f>IF(AND(G114&gt;0,G54&lt;=400),0,IF(AND(G58&gt;200,Zusatzeingaben!G159&gt;Zusatzeingaben!G157),Zusatzeingaben!G148,IF(AND($A$57="Gewinn aus selbständiger Tätigkeit",G57&gt;0),0,IF(AND(G54&lt;100,G58&lt;200,G69&gt;0),0,G107))))</f>
        <v>0</v>
      </c>
      <c r="H108" s="1117">
        <f>IF(AND(H114&gt;0,H54&lt;=400),0,IF(AND(H58&gt;200,Zusatzeingaben!H159&gt;Zusatzeingaben!H157),Zusatzeingaben!H148,IF(AND($A$57="Gewinn aus selbständiger Tätigkeit",H57&gt;0),0,IF(AND(H54&lt;100,H58&lt;200,H69&gt;0),0,H107))))</f>
        <v>0</v>
      </c>
      <c r="I108" s="1118">
        <f>IF(AND(I114&gt;0,I54&lt;=400),0,IF(AND(I58&gt;200,Zusatzeingaben!I159&gt;Zusatzeingaben!I157),Zusatzeingaben!I148,IF(AND($A$57="Gewinn aus selbständiger Tätigkeit",I57&gt;0),0,IF(AND(I54&lt;100,I58&lt;200,I69&gt;0),0,I107))))</f>
        <v>0</v>
      </c>
      <c r="J108" s="805"/>
    </row>
    <row r="109" spans="1:10" ht="17.25">
      <c r="A109" s="1129">
        <f>IF(B109&gt;0,"./. notwendige Ausgaben wie ESt., SV-Pflichtbeiträge",0)</f>
        <v>0</v>
      </c>
      <c r="B109" s="1093">
        <f>SUM(C109:I109)</f>
        <v>0</v>
      </c>
      <c r="C109" s="1117">
        <f>Zusatzeingaben!C218</f>
        <v>0</v>
      </c>
      <c r="D109" s="1117">
        <f>Zusatzeingaben!D218</f>
        <v>0</v>
      </c>
      <c r="E109" s="1117">
        <f>Zusatzeingaben!E218</f>
        <v>0</v>
      </c>
      <c r="F109" s="1117">
        <f>Zusatzeingaben!F218</f>
        <v>0</v>
      </c>
      <c r="G109" s="1117">
        <f>Zusatzeingaben!G218</f>
        <v>0</v>
      </c>
      <c r="H109" s="1117">
        <f>Zusatzeingaben!H218</f>
        <v>0</v>
      </c>
      <c r="I109" s="1118">
        <f>Zusatzeingaben!I218</f>
        <v>0</v>
      </c>
      <c r="J109" s="805"/>
    </row>
    <row r="110" spans="1:10" ht="16.5" customHeight="1">
      <c r="A110" s="979"/>
      <c r="B110" s="1093"/>
      <c r="C110" s="924">
        <f>IF(Zusatzeingaben!C161&gt;Ehrenamt,0,Zusatzeingaben!C161)</f>
        <v>0</v>
      </c>
      <c r="D110" s="924">
        <f>IF(Zusatzeingaben!D161&gt;Ehrenamt,0,Zusatzeingaben!D161)</f>
        <v>0</v>
      </c>
      <c r="E110" s="924">
        <f>IF(Zusatzeingaben!E161&gt;Ehrenamt,0,Zusatzeingaben!E161)</f>
        <v>0</v>
      </c>
      <c r="F110" s="924">
        <f>IF(Zusatzeingaben!F161&gt;Ehrenamt,0,Zusatzeingaben!F161)</f>
        <v>0</v>
      </c>
      <c r="G110" s="924">
        <f>IF(Zusatzeingaben!G161&gt;Ehrenamt,0,Zusatzeingaben!G161)</f>
        <v>0</v>
      </c>
      <c r="H110" s="924">
        <f>IF(Zusatzeingaben!H161&gt;Ehrenamt,0,Zusatzeingaben!H161)</f>
        <v>0</v>
      </c>
      <c r="I110" s="924">
        <f>IF(Zusatzeingaben!I161&gt;Ehrenamt,0,Zusatzeingaben!I161)</f>
        <v>0</v>
      </c>
      <c r="J110" s="805"/>
    </row>
    <row r="111" spans="1:10" ht="16.5" customHeight="1">
      <c r="A111" s="979"/>
      <c r="B111" s="1093"/>
      <c r="C111" s="924">
        <f>IF(AND(Zusatzeingaben!C131+Zusatzeingaben!C139&gt;400,Zusatzeingaben!C160&gt;100,Zusatzeingaben!C138&gt;0,Zusatzeingaben!C159+100&gt;Zusatzeingaben!C160),Zusatzeingaben!C159+100,IF(OR(Zusatzeingaben!C153&gt;100,Zusatzeingaben!C156&gt;100),0,IF(AND(Zusatzeingaben!C180&gt;0,Zusatzeingaben!C191&gt;100+Zusatzeingaben!C190),0,C110)))</f>
        <v>0</v>
      </c>
      <c r="D111" s="924">
        <f>IF(AND(Zusatzeingaben!D131+Zusatzeingaben!D139&gt;400,Zusatzeingaben!D160&gt;100,Zusatzeingaben!D138&gt;0,Zusatzeingaben!D159+100&gt;Zusatzeingaben!D160),Zusatzeingaben!D159+100,IF(OR(Zusatzeingaben!D153&gt;100,Zusatzeingaben!D156&gt;100),0,IF(AND(Zusatzeingaben!D180&gt;0,Zusatzeingaben!D191&gt;100+Zusatzeingaben!D190),0,D110)))</f>
        <v>0</v>
      </c>
      <c r="E111" s="924">
        <f>IF(AND(Zusatzeingaben!E131+Zusatzeingaben!E139&gt;400,Zusatzeingaben!E160&gt;100,Zusatzeingaben!E138&gt;0,Zusatzeingaben!E159+100&gt;Zusatzeingaben!E160),Zusatzeingaben!E159+100,IF(OR(Zusatzeingaben!E153&gt;100,Zusatzeingaben!E156&gt;100),0,IF(AND(Zusatzeingaben!E180&gt;0,Zusatzeingaben!E191&gt;100+Zusatzeingaben!E190),0,E110)))</f>
        <v>0</v>
      </c>
      <c r="F111" s="924">
        <f>IF(AND(Zusatzeingaben!F131+Zusatzeingaben!F139&gt;400,Zusatzeingaben!F160&gt;100,Zusatzeingaben!F138&gt;0,Zusatzeingaben!F159+100&gt;Zusatzeingaben!F160),Zusatzeingaben!F159+100,IF(OR(Zusatzeingaben!F153&gt;100,Zusatzeingaben!F156&gt;100),0,IF(AND(Zusatzeingaben!F180&gt;0,Zusatzeingaben!F191&gt;100+Zusatzeingaben!F190),0,F110)))</f>
        <v>0</v>
      </c>
      <c r="G111" s="924">
        <f>IF(AND(Zusatzeingaben!G131+Zusatzeingaben!G139&gt;400,Zusatzeingaben!G160&gt;100,Zusatzeingaben!G138&gt;0,Zusatzeingaben!G159+100&gt;Zusatzeingaben!G160),Zusatzeingaben!G159+100,IF(OR(Zusatzeingaben!G153&gt;100,Zusatzeingaben!G156&gt;100),0,IF(AND(Zusatzeingaben!G180&gt;0,Zusatzeingaben!G191&gt;100+Zusatzeingaben!G190),0,G110)))</f>
        <v>0</v>
      </c>
      <c r="H111" s="924">
        <f>IF(AND(Zusatzeingaben!H131+Zusatzeingaben!H139&gt;400,Zusatzeingaben!H160&gt;100,Zusatzeingaben!H138&gt;0,Zusatzeingaben!H159+100&gt;Zusatzeingaben!H160),Zusatzeingaben!H159+100,IF(OR(Zusatzeingaben!H153&gt;100,Zusatzeingaben!H156&gt;100),0,IF(AND(Zusatzeingaben!H180&gt;0,Zusatzeingaben!H191&gt;100+Zusatzeingaben!H190),0,H110)))</f>
        <v>0</v>
      </c>
      <c r="I111" s="924">
        <f>IF(AND(Zusatzeingaben!I131+Zusatzeingaben!I139&gt;400,Zusatzeingaben!I160&gt;100,Zusatzeingaben!I138&gt;0,Zusatzeingaben!I159+100&gt;Zusatzeingaben!I160),Zusatzeingaben!I159+100,IF(OR(Zusatzeingaben!I153&gt;100,Zusatzeingaben!I156&gt;100),0,IF(AND(Zusatzeingaben!I180&gt;0,Zusatzeingaben!I191&gt;100+Zusatzeingaben!I190),0,I110)))</f>
        <v>0</v>
      </c>
      <c r="J111" s="805"/>
    </row>
    <row r="112" spans="1:10" ht="16.5" customHeight="1">
      <c r="A112" s="979"/>
      <c r="B112" s="1093"/>
      <c r="C112" s="924">
        <f>IF(OR(Zusatzeingaben!C161=100,Zusatzeingaben!C161=Ehrenamt),Zusatzeingaben!C161,C111)</f>
        <v>0</v>
      </c>
      <c r="D112" s="924">
        <f>IF(OR(Zusatzeingaben!D161=100,Zusatzeingaben!D161=Ehrenamt),Zusatzeingaben!D161,D111)</f>
        <v>0</v>
      </c>
      <c r="E112" s="924">
        <f>IF(OR(Zusatzeingaben!E161=100,Zusatzeingaben!E161=Ehrenamt),Zusatzeingaben!E161,E111)</f>
        <v>0</v>
      </c>
      <c r="F112" s="924">
        <f>IF(OR(Zusatzeingaben!F161=100,Zusatzeingaben!F161=Ehrenamt),Zusatzeingaben!F161,F111)</f>
        <v>0</v>
      </c>
      <c r="G112" s="924">
        <f>IF(OR(Zusatzeingaben!G161=100,Zusatzeingaben!G161=Ehrenamt),Zusatzeingaben!G161,G111)</f>
        <v>0</v>
      </c>
      <c r="H112" s="924">
        <f>IF(OR(Zusatzeingaben!H161=100,Zusatzeingaben!H161=Ehrenamt),Zusatzeingaben!H161,H111)</f>
        <v>0</v>
      </c>
      <c r="I112" s="924">
        <f>IF(OR(Zusatzeingaben!I161=100,Zusatzeingaben!I161=Ehrenamt),Zusatzeingaben!I161,I111)</f>
        <v>0</v>
      </c>
      <c r="J112" s="805"/>
    </row>
    <row r="113" spans="1:64" ht="16.5" customHeight="1">
      <c r="A113" s="1129">
        <f>IF(B113&gt;0,"./. Grundfreibetrag Lohn / Ehrenamt",0)</f>
        <v>0</v>
      </c>
      <c r="B113" s="1093">
        <f>SUM(C113:I113)</f>
        <v>0</v>
      </c>
      <c r="C113" s="924">
        <f>IF(AND(Zusatzeingaben!C180&gt;0,Zusatzeingaben!C180&lt;Zusatzeingaben!C191),C112,IF(AND(Zusatzeingaben!C180&gt;0,C111=0,Zusatzeingaben!C191&gt;100),0,IF(C110&lt;100,C110,C112)))</f>
        <v>0</v>
      </c>
      <c r="D113" s="924">
        <f>IF(AND(Zusatzeingaben!D180&gt;0,Zusatzeingaben!D180&lt;Zusatzeingaben!D191),D112,IF(AND(Zusatzeingaben!D180&gt;0,D111=0,Zusatzeingaben!D191&gt;100),0,IF(D110&lt;100,D110,D112)))</f>
        <v>0</v>
      </c>
      <c r="E113" s="924">
        <f>IF(AND(Zusatzeingaben!E180&gt;0,Zusatzeingaben!E180&lt;Zusatzeingaben!E191),E112,IF(AND(Zusatzeingaben!E180&gt;0,E111=0,Zusatzeingaben!E191&gt;100),0,IF(E110&lt;100,E110,E112)))</f>
        <v>0</v>
      </c>
      <c r="F113" s="924">
        <f>IF(AND(Zusatzeingaben!F180&gt;0,Zusatzeingaben!F180&lt;Zusatzeingaben!F191),F112,IF(AND(Zusatzeingaben!F180&gt;0,F111=0,Zusatzeingaben!F191&gt;100),0,IF(F110&lt;100,F110,F112)))</f>
        <v>0</v>
      </c>
      <c r="G113" s="924">
        <f>IF(AND(Zusatzeingaben!G180&gt;0,Zusatzeingaben!G180&lt;Zusatzeingaben!G191),G112,IF(AND(Zusatzeingaben!G180&gt;0,G111=0,Zusatzeingaben!G191&gt;100),0,IF(G110&lt;100,G110,G112)))</f>
        <v>0</v>
      </c>
      <c r="H113" s="924">
        <f>IF(AND(Zusatzeingaben!H180&gt;0,Zusatzeingaben!H180&lt;Zusatzeingaben!H191),H112,IF(AND(Zusatzeingaben!H180&gt;0,H111=0,Zusatzeingaben!H191&gt;100),0,IF(H110&lt;100,H110,H112)))</f>
        <v>0</v>
      </c>
      <c r="I113" s="924">
        <f>IF(AND(Zusatzeingaben!I180&gt;0,Zusatzeingaben!I180&lt;Zusatzeingaben!I191),I112,IF(AND(Zusatzeingaben!I180&gt;0,I111=0,Zusatzeingaben!I191&gt;100),0,IF(I110&lt;100,I110,I112)))</f>
        <v>0</v>
      </c>
      <c r="J113" s="805"/>
    </row>
    <row r="114" spans="1:64" ht="16.5" customHeight="1">
      <c r="A114" s="1129">
        <f>IF(B114&gt;0,"./. Freibetrag Freiwilligendienste",0)</f>
        <v>0</v>
      </c>
      <c r="B114" s="1093">
        <f>SUM(C114:I114)</f>
        <v>0</v>
      </c>
      <c r="C114" s="924">
        <f>Zusatzeingaben!C173</f>
        <v>0</v>
      </c>
      <c r="D114" s="924">
        <f>Zusatzeingaben!D173</f>
        <v>0</v>
      </c>
      <c r="E114" s="924">
        <f>Zusatzeingaben!E173</f>
        <v>0</v>
      </c>
      <c r="F114" s="924">
        <f>Zusatzeingaben!F173</f>
        <v>0</v>
      </c>
      <c r="G114" s="924">
        <f>Zusatzeingaben!G173</f>
        <v>0</v>
      </c>
      <c r="H114" s="924">
        <f>Zusatzeingaben!H173</f>
        <v>0</v>
      </c>
      <c r="I114" s="925">
        <f>Zusatzeingaben!I173</f>
        <v>0</v>
      </c>
      <c r="J114" s="805"/>
    </row>
    <row r="115" spans="1:64" ht="16.5" customHeight="1">
      <c r="A115" s="975"/>
      <c r="B115" s="1093"/>
      <c r="C115" s="924">
        <f>IF(AND(Zusatzeingaben!C197&gt;0,C58=0),C54*0.3,IF(AND(Zusatzeingaben!C34="nein",C58=0),C54*0.3,0))</f>
        <v>0</v>
      </c>
      <c r="D115" s="924">
        <f>IF(AND(Zusatzeingaben!D197&gt;0,D58=0),D54*0.3,IF(AND(Zusatzeingaben!D34="nein",D58=0),D54*0.3,0))</f>
        <v>0</v>
      </c>
      <c r="E115" s="924">
        <f>IF(AND(Zusatzeingaben!E18&gt;14,Zusatzeingaben!E34="nein",E58=0),E54*0.3,0)</f>
        <v>0</v>
      </c>
      <c r="F115" s="924">
        <f>IF(AND(Zusatzeingaben!F18&gt;14,Zusatzeingaben!F34="nein",F58=0),F54*0.3,0)</f>
        <v>0</v>
      </c>
      <c r="G115" s="924">
        <f>IF(AND(Zusatzeingaben!G18&gt;14,Zusatzeingaben!G34="nein",G58=0),G54*0.3,0)</f>
        <v>0</v>
      </c>
      <c r="H115" s="924">
        <f>IF(AND(Zusatzeingaben!H18&gt;14,Zusatzeingaben!H34="nein",H58=0),H54*0.3,0)</f>
        <v>0</v>
      </c>
      <c r="I115" s="925">
        <f>IF(AND(Zusatzeingaben!I18&gt;14,Zusatzeingaben!I34="nein",I58=0),I54*0.3,0)</f>
        <v>0</v>
      </c>
      <c r="J115" s="805"/>
      <c r="K115" s="1080"/>
      <c r="L115" s="1080"/>
      <c r="M115" s="1080"/>
      <c r="N115" s="1080"/>
      <c r="O115" s="1080"/>
      <c r="P115" s="1080"/>
      <c r="Q115" s="1080"/>
      <c r="R115" s="1080"/>
      <c r="S115" s="1080"/>
      <c r="T115" s="1080"/>
      <c r="U115" s="1080"/>
      <c r="V115" s="1080"/>
      <c r="W115" s="1080"/>
      <c r="X115" s="1080"/>
      <c r="Y115" s="1080"/>
      <c r="Z115" s="1080"/>
      <c r="AA115" s="1080"/>
      <c r="AB115" s="1080"/>
      <c r="AC115" s="1080"/>
      <c r="AD115" s="1080"/>
      <c r="AE115" s="1080"/>
      <c r="AF115" s="1080"/>
      <c r="AG115" s="1080"/>
      <c r="AH115" s="1080"/>
      <c r="AI115" s="1080"/>
      <c r="AJ115" s="1080"/>
      <c r="AK115" s="1080"/>
      <c r="AL115" s="1080"/>
      <c r="AM115" s="1080"/>
      <c r="AN115" s="1080"/>
      <c r="AO115" s="1080"/>
      <c r="AP115" s="1080"/>
      <c r="AQ115" s="1080"/>
      <c r="AR115" s="1080"/>
      <c r="AS115" s="1080"/>
      <c r="AT115" s="1080"/>
      <c r="AU115" s="1080"/>
      <c r="AV115" s="1080"/>
      <c r="AW115" s="1080"/>
      <c r="AX115" s="1080"/>
      <c r="AY115" s="1080"/>
      <c r="AZ115" s="1080"/>
      <c r="BA115" s="1080"/>
      <c r="BB115" s="1080"/>
      <c r="BC115" s="1080"/>
      <c r="BD115" s="1080"/>
      <c r="BE115" s="1080"/>
      <c r="BF115" s="1080"/>
      <c r="BG115" s="1080"/>
      <c r="BH115" s="1080"/>
      <c r="BI115" s="1080"/>
      <c r="BJ115" s="1080"/>
      <c r="BK115" s="1080"/>
      <c r="BL115" s="1080"/>
    </row>
    <row r="116" spans="1:64" ht="16.5" customHeight="1">
      <c r="A116" s="975"/>
      <c r="B116" s="1093"/>
      <c r="C116" s="924">
        <f>IF(AND(Zusatzeingaben!C197&gt;0,C115=0,C58&gt;0),0,IF(AND(Zusatzeingaben!C34="nein",C115=0,C58&gt;0),0,IF(C115&gt;0,MIN(C115,Zusatzeingaben!$C$233*0.5),D190)))</f>
        <v>0</v>
      </c>
      <c r="D116" s="924">
        <f>IF(AND(Zusatzeingaben!D197&gt;0,D115=0,D58&gt;0),0,IF(AND(Zusatzeingaben!D34="nein",D115=0,D58&gt;0),0,IF(D115&gt;0,MIN(D115,Zusatzeingaben!$C$233*0.5),D195)))</f>
        <v>0</v>
      </c>
      <c r="E116" s="924">
        <f>IF(AND(Zusatzeingaben!E18&gt;14,Zusatzeingaben!E34="nein",E115=0,E58&gt;0),0,IF(Zusatzeingaben!E18&lt;15,0,IF(E115&gt;0,MIN(E115,Zusatzeingaben!$C$233*0.5),D200)))</f>
        <v>0</v>
      </c>
      <c r="F116" s="924">
        <f>IF(AND(Zusatzeingaben!F18&gt;14,Zusatzeingaben!F34="nein",F115=0,F58&gt;0),0,IF(Zusatzeingaben!F18&lt;15,0,IF(F115&gt;0,MIN(F115,Zusatzeingaben!$C$233*0.5),D205)))</f>
        <v>0</v>
      </c>
      <c r="G116" s="924">
        <f>IF(AND(Zusatzeingaben!G18&gt;14,Zusatzeingaben!G34="nein",G115=0,G58&gt;0),0,IF(Zusatzeingaben!G18&lt;15,0,IF(G115&gt;0,MIN(G115,Zusatzeingaben!$C$233*0.5),D210)))</f>
        <v>0</v>
      </c>
      <c r="H116" s="924">
        <f>IF(AND(Zusatzeingaben!H18&gt;14,Zusatzeingaben!H34="nein",H115=0,H58&gt;0),0,IF(Zusatzeingaben!H18&lt;15,0,IF(H115&gt;0,MIN(H115,Zusatzeingaben!$C$233*0.5),D215)))</f>
        <v>0</v>
      </c>
      <c r="I116" s="925">
        <f>IF(AND(Zusatzeingaben!I18&gt;14,Zusatzeingaben!I34="nein",I115=0,I58&gt;0),0,IF(Zusatzeingaben!I18&lt;15,0,IF(I115&gt;0,MIN(I115,Zusatzeingaben!$C$233*0.5),D220)))</f>
        <v>0</v>
      </c>
      <c r="J116" s="805"/>
      <c r="K116" s="1080"/>
      <c r="L116" s="1080"/>
      <c r="M116" s="1080"/>
      <c r="N116" s="1080"/>
      <c r="O116" s="1080"/>
      <c r="P116" s="1080"/>
      <c r="Q116" s="1080"/>
      <c r="R116" s="1080"/>
      <c r="S116" s="1080"/>
      <c r="T116" s="1080"/>
      <c r="U116" s="1080"/>
      <c r="V116" s="1080"/>
      <c r="W116" s="1080"/>
      <c r="X116" s="1080"/>
      <c r="Y116" s="1080"/>
      <c r="Z116" s="1080"/>
      <c r="AA116" s="1080"/>
      <c r="AB116" s="1080"/>
      <c r="AC116" s="1080"/>
      <c r="AD116" s="1080"/>
      <c r="AE116" s="1080"/>
      <c r="AF116" s="1080"/>
      <c r="AG116" s="1080"/>
      <c r="AH116" s="1080"/>
      <c r="AI116" s="1080"/>
      <c r="AJ116" s="1080"/>
      <c r="AK116" s="1080"/>
      <c r="AL116" s="1080"/>
      <c r="AM116" s="1080"/>
      <c r="AN116" s="1080"/>
      <c r="AO116" s="1080"/>
      <c r="AP116" s="1080"/>
      <c r="AQ116" s="1080"/>
      <c r="AR116" s="1080"/>
      <c r="AS116" s="1080"/>
      <c r="AT116" s="1080"/>
      <c r="AU116" s="1080"/>
      <c r="AV116" s="1080"/>
      <c r="AW116" s="1080"/>
      <c r="AX116" s="1080"/>
      <c r="AY116" s="1080"/>
      <c r="AZ116" s="1080"/>
      <c r="BA116" s="1080"/>
      <c r="BB116" s="1080"/>
      <c r="BC116" s="1080"/>
      <c r="BD116" s="1080"/>
      <c r="BE116" s="1080"/>
      <c r="BF116" s="1080"/>
      <c r="BG116" s="1080"/>
      <c r="BH116" s="1080"/>
      <c r="BI116" s="1080"/>
      <c r="BJ116" s="1080"/>
      <c r="BK116" s="1080"/>
      <c r="BL116" s="1080"/>
    </row>
    <row r="117" spans="1:64" ht="16.5" customHeight="1">
      <c r="A117" s="1129">
        <f>IF(B117&gt;0,"./. Freibetrag bei Erwerbstätigkeit",0)</f>
        <v>0</v>
      </c>
      <c r="B117" s="1093">
        <f t="shared" ref="B117:B122" si="12">SUM(C117:I117)</f>
        <v>0</v>
      </c>
      <c r="C117" s="924">
        <f t="shared" ref="C117:I117" si="13">IF(C54+C58-C113=0,0,IF(C54+C58-C113-C116&lt;0,C54+C58-C113,C116))</f>
        <v>0</v>
      </c>
      <c r="D117" s="924">
        <f t="shared" si="13"/>
        <v>0</v>
      </c>
      <c r="E117" s="924">
        <f t="shared" si="13"/>
        <v>0</v>
      </c>
      <c r="F117" s="924">
        <f t="shared" si="13"/>
        <v>0</v>
      </c>
      <c r="G117" s="924">
        <f t="shared" si="13"/>
        <v>0</v>
      </c>
      <c r="H117" s="924">
        <f t="shared" si="13"/>
        <v>0</v>
      </c>
      <c r="I117" s="925">
        <f t="shared" si="13"/>
        <v>0</v>
      </c>
      <c r="J117" s="805"/>
      <c r="K117" s="1080"/>
      <c r="L117" s="1080"/>
      <c r="M117" s="1080"/>
      <c r="N117" s="1080"/>
      <c r="O117" s="1080"/>
      <c r="P117" s="1080"/>
      <c r="Q117" s="1080"/>
      <c r="R117" s="1080"/>
      <c r="S117" s="1080"/>
      <c r="T117" s="1080"/>
      <c r="U117" s="1080"/>
      <c r="V117" s="1080"/>
      <c r="W117" s="1080"/>
      <c r="X117" s="1080"/>
      <c r="Y117" s="1080"/>
      <c r="Z117" s="1080"/>
      <c r="AA117" s="1080"/>
      <c r="AB117" s="1080"/>
      <c r="AC117" s="1080"/>
      <c r="AD117" s="1080"/>
      <c r="AE117" s="1080"/>
      <c r="AF117" s="1080"/>
      <c r="AG117" s="1080"/>
      <c r="AH117" s="1080"/>
      <c r="AI117" s="1080"/>
      <c r="AJ117" s="1080"/>
      <c r="AK117" s="1080"/>
      <c r="AL117" s="1080"/>
      <c r="AM117" s="1080"/>
      <c r="AN117" s="1080"/>
      <c r="AO117" s="1080"/>
      <c r="AP117" s="1080"/>
      <c r="AQ117" s="1080"/>
      <c r="AR117" s="1080"/>
      <c r="AS117" s="1080"/>
      <c r="AT117" s="1080"/>
      <c r="AU117" s="1080"/>
      <c r="AV117" s="1080"/>
      <c r="AW117" s="1080"/>
      <c r="AX117" s="1080"/>
      <c r="AY117" s="1080"/>
      <c r="AZ117" s="1080"/>
      <c r="BA117" s="1080"/>
      <c r="BB117" s="1080"/>
      <c r="BC117" s="1080"/>
      <c r="BD117" s="1080"/>
      <c r="BE117" s="1080"/>
      <c r="BF117" s="1080"/>
      <c r="BG117" s="1080"/>
      <c r="BH117" s="1080"/>
      <c r="BI117" s="1080"/>
      <c r="BJ117" s="1080"/>
      <c r="BK117" s="1080"/>
      <c r="BL117" s="1080"/>
    </row>
    <row r="118" spans="1:64" ht="16.5" customHeight="1">
      <c r="A118" s="1129">
        <f>IF(B118&gt;0,"./. Unterhaltsverpflichtungen",0)</f>
        <v>0</v>
      </c>
      <c r="B118" s="1093">
        <f t="shared" si="12"/>
        <v>0</v>
      </c>
      <c r="C118" s="924">
        <f>IF(C70=0,0,Zusatzeingaben!C219)</f>
        <v>0</v>
      </c>
      <c r="D118" s="924">
        <f>IF(D70=0,0,Zusatzeingaben!D219)</f>
        <v>0</v>
      </c>
      <c r="E118" s="924">
        <f>IF(E70=0,0,Zusatzeingaben!E219)</f>
        <v>0</v>
      </c>
      <c r="F118" s="924">
        <f>IF(F70=0,0,Zusatzeingaben!F219)</f>
        <v>0</v>
      </c>
      <c r="G118" s="924">
        <f>IF(G70=0,0,Zusatzeingaben!G219)</f>
        <v>0</v>
      </c>
      <c r="H118" s="924">
        <f>IF(H70=0,0,Zusatzeingaben!H219)</f>
        <v>0</v>
      </c>
      <c r="I118" s="925">
        <f>IF(I70=0,0,Zusatzeingaben!I219)</f>
        <v>0</v>
      </c>
      <c r="J118" s="805"/>
      <c r="K118" s="1080"/>
      <c r="L118" s="1080"/>
      <c r="M118" s="1080"/>
      <c r="N118" s="1080"/>
      <c r="O118" s="1080"/>
      <c r="P118" s="1080"/>
      <c r="Q118" s="1080"/>
      <c r="R118" s="1080"/>
      <c r="S118" s="1080"/>
      <c r="T118" s="1080"/>
      <c r="U118" s="1080"/>
      <c r="V118" s="1080"/>
      <c r="W118" s="1080"/>
      <c r="X118" s="1080"/>
      <c r="Y118" s="1080"/>
      <c r="Z118" s="1080"/>
      <c r="AA118" s="1080"/>
      <c r="AB118" s="1080"/>
      <c r="AC118" s="1080"/>
      <c r="AD118" s="1080"/>
      <c r="AE118" s="1080"/>
      <c r="AF118" s="1080"/>
      <c r="AG118" s="1080"/>
      <c r="AH118" s="1080"/>
      <c r="AI118" s="1080"/>
      <c r="AJ118" s="1080"/>
      <c r="AK118" s="1080"/>
      <c r="AL118" s="1080"/>
      <c r="AM118" s="1080"/>
      <c r="AN118" s="1080"/>
      <c r="AO118" s="1080"/>
      <c r="AP118" s="1080"/>
      <c r="AQ118" s="1080"/>
      <c r="AR118" s="1080"/>
      <c r="AS118" s="1080"/>
      <c r="AT118" s="1080"/>
      <c r="AU118" s="1080"/>
      <c r="AV118" s="1080"/>
      <c r="AW118" s="1080"/>
      <c r="AX118" s="1080"/>
      <c r="AY118" s="1080"/>
      <c r="AZ118" s="1080"/>
      <c r="BA118" s="1080"/>
      <c r="BB118" s="1080"/>
      <c r="BC118" s="1080"/>
      <c r="BD118" s="1080"/>
      <c r="BE118" s="1080"/>
      <c r="BF118" s="1080"/>
      <c r="BG118" s="1080"/>
      <c r="BH118" s="1080"/>
      <c r="BI118" s="1080"/>
      <c r="BJ118" s="1080"/>
      <c r="BK118" s="1080"/>
      <c r="BL118" s="1080"/>
    </row>
    <row r="119" spans="1:64" ht="16.5" customHeight="1">
      <c r="A119" s="1129">
        <f>IF(B119&gt;0,"./. Elterngeldfreibetrag",0)</f>
        <v>0</v>
      </c>
      <c r="B119" s="1093">
        <f t="shared" si="12"/>
        <v>0</v>
      </c>
      <c r="C119" s="924">
        <f>Zusatzeingaben!C179</f>
        <v>0</v>
      </c>
      <c r="D119" s="924">
        <f>Zusatzeingaben!D179</f>
        <v>0</v>
      </c>
      <c r="E119" s="924"/>
      <c r="F119" s="924"/>
      <c r="G119" s="1119"/>
      <c r="H119" s="1119"/>
      <c r="I119" s="1130"/>
      <c r="J119" s="805"/>
      <c r="K119" s="1080"/>
      <c r="L119" s="1080"/>
      <c r="M119" s="1080"/>
      <c r="N119" s="1080"/>
      <c r="O119" s="1080"/>
      <c r="P119" s="1080"/>
      <c r="Q119" s="1080"/>
      <c r="R119" s="1080"/>
      <c r="S119" s="1080"/>
      <c r="T119" s="1080"/>
      <c r="U119" s="1080"/>
      <c r="V119" s="1080"/>
      <c r="W119" s="1080"/>
      <c r="X119" s="1080"/>
      <c r="Y119" s="1080"/>
      <c r="Z119" s="1080"/>
      <c r="AA119" s="1080"/>
      <c r="AB119" s="1080"/>
      <c r="AC119" s="1080"/>
      <c r="AD119" s="1080"/>
      <c r="AE119" s="1080"/>
      <c r="AF119" s="1080"/>
      <c r="AG119" s="1080"/>
      <c r="AH119" s="1080"/>
      <c r="AI119" s="1080"/>
      <c r="AJ119" s="1080"/>
      <c r="AK119" s="1080"/>
      <c r="AL119" s="1080"/>
      <c r="AM119" s="1080"/>
      <c r="AN119" s="1080"/>
      <c r="AO119" s="1080"/>
      <c r="AP119" s="1080"/>
      <c r="AQ119" s="1080"/>
      <c r="AR119" s="1080"/>
      <c r="AS119" s="1080"/>
      <c r="AT119" s="1080"/>
      <c r="AU119" s="1080"/>
      <c r="AV119" s="1080"/>
      <c r="AW119" s="1080"/>
      <c r="AX119" s="1080"/>
      <c r="AY119" s="1080"/>
      <c r="AZ119" s="1080"/>
      <c r="BA119" s="1080"/>
      <c r="BB119" s="1080"/>
      <c r="BC119" s="1080"/>
      <c r="BD119" s="1080"/>
      <c r="BE119" s="1080"/>
      <c r="BF119" s="1080"/>
      <c r="BG119" s="1080"/>
      <c r="BH119" s="1080"/>
      <c r="BI119" s="1080"/>
      <c r="BJ119" s="1080"/>
      <c r="BK119" s="1080"/>
      <c r="BL119" s="1080"/>
    </row>
    <row r="120" spans="1:64" ht="18" hidden="1" customHeight="1">
      <c r="A120" s="1131">
        <f>IF(AND(C120&gt;0,C120=Zusatzeingaben!C189),"./. Grundfreibetrag Ausbildungsförderung",IF(AND(D120&gt;0,D120=Zusatzeingaben!D189),"./. Grundfreibetrag Ausbildungsförderung",IF(AND(E120&gt;0,E120=Zusatzeingaben!E189),"./. Grundfreibetrag Ausbildungsförderung",IF(AND(F120&gt;0,F120=Zusatzeingaben!F189),"./. Grundfreibetrag Ausbildungsförderung",IF(AND(G120&gt;0,G120=Zusatzeingaben!G189),"./. Grundfreibetrag Ausbildungsförderung",IF(AND(H120&gt;0,H120=Zusatzeingaben!H189),"./. Grundfreibetrag Ausbildungsförderung",IF(AND(I120&gt;0,I120=Zusatzeingaben!I189),"./. Grundfreibetrag Ausbildungsförderung",IF(AND(C120&gt;0,C120=Zusatzeingaben!C190),"./. Ausgaben für die Ausbildung",IF(AND(D120&gt;0,D120=Zusatzeingaben!D190),"./. Ausgaben für die Ausbildung",IF(AND(E120&gt;0,E120=Zusatzeingaben!E190),"./. Ausgaben für die Ausbildung",IF(AND(F120&gt;0,F120=Zusatzeingaben!F190),"./. Ausgaben für die Ausbildung",IF(AND(G120&gt;0,G120=Zusatzeingaben!G190),"./. Ausgaben für die Ausbildung",IF(AND(H120&gt;0,H120=Zusatzeingaben!H190),"./. Ausgaben für die Ausbildung",IF(AND(I120&gt;0,I120=Zusatzeingaben!I190),"./. Ausgaben für die Ausbildung",0))))))))))))))</f>
        <v>0</v>
      </c>
      <c r="B120" s="1109">
        <f t="shared" si="12"/>
        <v>0</v>
      </c>
      <c r="C120" s="1066">
        <f>IF(Zusatzeingaben!C191&gt;100,Zusatzeingaben!C190,IF(AND(Zusatzeingaben!C190&gt;0,Zusatzeingaben!C190&gt;Zusatzeingaben!C189),Zusatzeingaben!C190,Zusatzeingaben!C189))</f>
        <v>0</v>
      </c>
      <c r="D120" s="1066">
        <f>IF(Zusatzeingaben!D191&gt;100,Zusatzeingaben!D190,IF(AND(Zusatzeingaben!D190&gt;0,Zusatzeingaben!D190&gt;Zusatzeingaben!D189),Zusatzeingaben!D190,Zusatzeingaben!D189))</f>
        <v>0</v>
      </c>
      <c r="E120" s="1066">
        <f>IF(Zusatzeingaben!E191&gt;100,Zusatzeingaben!E190,IF(AND(Zusatzeingaben!E190&gt;0,Zusatzeingaben!E190&gt;Zusatzeingaben!E189),Zusatzeingaben!E190,Zusatzeingaben!E189))</f>
        <v>0</v>
      </c>
      <c r="F120" s="1066">
        <f>IF(Zusatzeingaben!F191&gt;100,Zusatzeingaben!F190,IF(AND(Zusatzeingaben!F190&gt;0,Zusatzeingaben!F190&gt;Zusatzeingaben!F189),Zusatzeingaben!F190,Zusatzeingaben!F189))</f>
        <v>0</v>
      </c>
      <c r="G120" s="1066">
        <f>IF(Zusatzeingaben!G191&gt;100,Zusatzeingaben!G190,IF(AND(Zusatzeingaben!G190&gt;0,Zusatzeingaben!G190&gt;Zusatzeingaben!G189),Zusatzeingaben!G190,Zusatzeingaben!G189))</f>
        <v>0</v>
      </c>
      <c r="H120" s="1066">
        <f>IF(Zusatzeingaben!H191&gt;100,Zusatzeingaben!H190,IF(AND(Zusatzeingaben!H190&gt;0,Zusatzeingaben!H190&gt;Zusatzeingaben!H189),Zusatzeingaben!H190,Zusatzeingaben!H189))</f>
        <v>0</v>
      </c>
      <c r="I120" s="1067">
        <f>IF(Zusatzeingaben!I191&gt;100,Zusatzeingaben!I190,IF(AND(Zusatzeingaben!I190&gt;0,Zusatzeingaben!I190&gt;Zusatzeingaben!I189),Zusatzeingaben!I190,Zusatzeingaben!I189))</f>
        <v>0</v>
      </c>
      <c r="J120" s="805"/>
      <c r="K120" s="1080"/>
      <c r="L120" s="1080"/>
      <c r="M120" s="1080"/>
      <c r="N120" s="1080"/>
      <c r="O120" s="1080"/>
      <c r="P120" s="1080"/>
      <c r="Q120" s="1080"/>
      <c r="R120" s="1080"/>
      <c r="S120" s="1080"/>
      <c r="T120" s="1080"/>
      <c r="U120" s="1080"/>
      <c r="V120" s="1080"/>
      <c r="W120" s="1080"/>
      <c r="X120" s="1080"/>
      <c r="Y120" s="1080"/>
      <c r="Z120" s="1080"/>
      <c r="AA120" s="1080"/>
      <c r="AB120" s="1080"/>
      <c r="AC120" s="1080"/>
      <c r="AD120" s="1080"/>
      <c r="AE120" s="1080"/>
      <c r="AF120" s="1080"/>
      <c r="AG120" s="1080"/>
      <c r="AH120" s="1080"/>
      <c r="AI120" s="1080"/>
      <c r="AJ120" s="1080"/>
      <c r="AK120" s="1080"/>
      <c r="AL120" s="1080"/>
      <c r="AM120" s="1080"/>
      <c r="AN120" s="1080"/>
      <c r="AO120" s="1080"/>
      <c r="AP120" s="1080"/>
      <c r="AQ120" s="1080"/>
      <c r="AR120" s="1080"/>
      <c r="AS120" s="1080"/>
      <c r="AT120" s="1080"/>
      <c r="AU120" s="1080"/>
      <c r="AV120" s="1080"/>
      <c r="AW120" s="1080"/>
      <c r="AX120" s="1080"/>
      <c r="AY120" s="1080"/>
      <c r="AZ120" s="1080"/>
      <c r="BA120" s="1080"/>
      <c r="BB120" s="1080"/>
      <c r="BC120" s="1080"/>
      <c r="BD120" s="1080"/>
      <c r="BE120" s="1080"/>
      <c r="BF120" s="1080"/>
      <c r="BG120" s="1080"/>
      <c r="BH120" s="1080"/>
      <c r="BI120" s="1080"/>
      <c r="BJ120" s="1080"/>
      <c r="BK120" s="1080"/>
      <c r="BL120" s="1080"/>
    </row>
    <row r="121" spans="1:64" ht="18" hidden="1" customHeight="1">
      <c r="A121" s="1132"/>
      <c r="B121" s="1133">
        <f t="shared" si="12"/>
        <v>0</v>
      </c>
      <c r="C121" s="1134">
        <f t="shared" ref="C121:I121" si="14">C70-C76-C82-C87-C92-C98-C104-C108-C109-C113-C114-C117-C118-C119-C120</f>
        <v>0</v>
      </c>
      <c r="D121" s="1134">
        <f t="shared" si="14"/>
        <v>0</v>
      </c>
      <c r="E121" s="1134">
        <f t="shared" si="14"/>
        <v>0</v>
      </c>
      <c r="F121" s="1134">
        <f t="shared" si="14"/>
        <v>0</v>
      </c>
      <c r="G121" s="1134">
        <f t="shared" si="14"/>
        <v>0</v>
      </c>
      <c r="H121" s="1134">
        <f t="shared" si="14"/>
        <v>0</v>
      </c>
      <c r="I121" s="1135">
        <f t="shared" si="14"/>
        <v>0</v>
      </c>
      <c r="J121" s="805"/>
      <c r="K121" s="1080"/>
      <c r="L121" s="1080"/>
      <c r="M121" s="1080"/>
      <c r="N121" s="1080"/>
      <c r="O121" s="1080"/>
      <c r="P121" s="1080"/>
      <c r="Q121" s="1080"/>
      <c r="R121" s="1080"/>
      <c r="S121" s="1080"/>
      <c r="T121" s="1080"/>
      <c r="U121" s="1080"/>
      <c r="V121" s="1080"/>
      <c r="W121" s="1080"/>
      <c r="X121" s="1080"/>
      <c r="Y121" s="1080"/>
      <c r="Z121" s="1080"/>
      <c r="AA121" s="1080"/>
      <c r="AB121" s="1080"/>
      <c r="AC121" s="1080"/>
      <c r="AD121" s="1080"/>
      <c r="AE121" s="1080"/>
      <c r="AF121" s="1080"/>
      <c r="AG121" s="1080"/>
      <c r="AH121" s="1080"/>
      <c r="AI121" s="1080"/>
      <c r="AJ121" s="1080"/>
      <c r="AK121" s="1080"/>
      <c r="AL121" s="1080"/>
      <c r="AM121" s="1080"/>
      <c r="AN121" s="1080"/>
      <c r="AO121" s="1080"/>
      <c r="AP121" s="1080"/>
      <c r="AQ121" s="1080"/>
      <c r="AR121" s="1080"/>
      <c r="AS121" s="1080"/>
      <c r="AT121" s="1080"/>
      <c r="AU121" s="1080"/>
      <c r="AV121" s="1080"/>
      <c r="AW121" s="1080"/>
      <c r="AX121" s="1080"/>
      <c r="AY121" s="1080"/>
      <c r="AZ121" s="1080"/>
      <c r="BA121" s="1080"/>
      <c r="BB121" s="1080"/>
      <c r="BC121" s="1080"/>
      <c r="BD121" s="1080"/>
      <c r="BE121" s="1080"/>
      <c r="BF121" s="1080"/>
      <c r="BG121" s="1080"/>
      <c r="BH121" s="1080"/>
      <c r="BI121" s="1080"/>
      <c r="BJ121" s="1080"/>
      <c r="BK121" s="1080"/>
      <c r="BL121" s="1080"/>
    </row>
    <row r="122" spans="1:64" ht="21" customHeight="1">
      <c r="A122" s="1136" t="s">
        <v>2168</v>
      </c>
      <c r="B122" s="1137">
        <f t="shared" si="12"/>
        <v>0</v>
      </c>
      <c r="C122" s="1137">
        <f t="shared" ref="C122:I122" si="15">IF(C121&lt;0,0,C121)</f>
        <v>0</v>
      </c>
      <c r="D122" s="1137">
        <f t="shared" si="15"/>
        <v>0</v>
      </c>
      <c r="E122" s="1137">
        <f t="shared" si="15"/>
        <v>0</v>
      </c>
      <c r="F122" s="1137">
        <f t="shared" si="15"/>
        <v>0</v>
      </c>
      <c r="G122" s="1137">
        <f t="shared" si="15"/>
        <v>0</v>
      </c>
      <c r="H122" s="1137">
        <f t="shared" si="15"/>
        <v>0</v>
      </c>
      <c r="I122" s="1138">
        <f t="shared" si="15"/>
        <v>0</v>
      </c>
      <c r="J122" s="805"/>
      <c r="K122" s="1080"/>
      <c r="L122" s="1080"/>
      <c r="M122" s="1080"/>
      <c r="N122" s="1080"/>
      <c r="O122" s="1080"/>
      <c r="P122" s="1080"/>
      <c r="Q122" s="1080"/>
      <c r="R122" s="1080"/>
      <c r="S122" s="1080"/>
      <c r="T122" s="1080"/>
      <c r="U122" s="1080"/>
      <c r="V122" s="1080"/>
      <c r="W122" s="1080"/>
      <c r="X122" s="1080"/>
      <c r="Y122" s="1080"/>
      <c r="Z122" s="1080"/>
      <c r="AA122" s="1080"/>
      <c r="AB122" s="1080"/>
      <c r="AC122" s="1080"/>
      <c r="AD122" s="1080"/>
      <c r="AE122" s="1080"/>
      <c r="AF122" s="1080"/>
      <c r="AG122" s="1080"/>
      <c r="AH122" s="1080"/>
      <c r="AI122" s="1080"/>
      <c r="AJ122" s="1080"/>
      <c r="AK122" s="1080"/>
      <c r="AL122" s="1080"/>
      <c r="AM122" s="1080"/>
      <c r="AN122" s="1080"/>
      <c r="AO122" s="1080"/>
      <c r="AP122" s="1080"/>
      <c r="AQ122" s="1080"/>
      <c r="AR122" s="1080"/>
      <c r="AS122" s="1080"/>
      <c r="AT122" s="1080"/>
      <c r="AU122" s="1080"/>
      <c r="AV122" s="1080"/>
      <c r="AW122" s="1080"/>
      <c r="AX122" s="1080"/>
      <c r="AY122" s="1080"/>
      <c r="AZ122" s="1080"/>
      <c r="BA122" s="1080"/>
      <c r="BB122" s="1080"/>
      <c r="BC122" s="1080"/>
      <c r="BD122" s="1080"/>
      <c r="BE122" s="1080"/>
      <c r="BF122" s="1080"/>
      <c r="BG122" s="1080"/>
      <c r="BH122" s="1080"/>
      <c r="BI122" s="1080"/>
      <c r="BJ122" s="1080"/>
      <c r="BK122" s="1080"/>
      <c r="BL122" s="1080"/>
    </row>
    <row r="123" spans="1:64" ht="15" customHeight="1">
      <c r="J123" s="805"/>
      <c r="K123" s="1080"/>
      <c r="L123" s="1080"/>
      <c r="M123" s="1080"/>
      <c r="N123" s="1080"/>
      <c r="O123" s="1080"/>
      <c r="P123" s="1080"/>
      <c r="Q123" s="1080"/>
      <c r="R123" s="1080"/>
      <c r="S123" s="1080"/>
      <c r="T123" s="1080"/>
      <c r="U123" s="1080"/>
      <c r="V123" s="1080"/>
      <c r="W123" s="1080"/>
      <c r="X123" s="1080"/>
      <c r="Y123" s="1080"/>
      <c r="Z123" s="1080"/>
      <c r="AA123" s="1080"/>
      <c r="AB123" s="1080"/>
      <c r="AC123" s="1080"/>
      <c r="AD123" s="1080"/>
      <c r="AE123" s="1080"/>
      <c r="AF123" s="1080"/>
      <c r="AG123" s="1080"/>
      <c r="AH123" s="1080"/>
      <c r="AI123" s="1080"/>
      <c r="AJ123" s="1080"/>
      <c r="AK123" s="1080"/>
      <c r="AL123" s="1080"/>
      <c r="AM123" s="1080"/>
      <c r="AN123" s="1080"/>
      <c r="AO123" s="1080"/>
      <c r="AP123" s="1080"/>
      <c r="AQ123" s="1080"/>
      <c r="AR123" s="1080"/>
      <c r="AS123" s="1080"/>
      <c r="AT123" s="1080"/>
      <c r="AU123" s="1080"/>
      <c r="AV123" s="1080"/>
      <c r="AW123" s="1080"/>
      <c r="AX123" s="1080"/>
      <c r="AY123" s="1080"/>
      <c r="AZ123" s="1080"/>
      <c r="BA123" s="1080"/>
      <c r="BB123" s="1080"/>
      <c r="BC123" s="1080"/>
      <c r="BD123" s="1080"/>
      <c r="BE123" s="1080"/>
      <c r="BF123" s="1080"/>
      <c r="BG123" s="1080"/>
      <c r="BH123" s="1080"/>
      <c r="BI123" s="1080"/>
      <c r="BJ123" s="1080"/>
      <c r="BK123" s="1080"/>
      <c r="BL123" s="1080"/>
    </row>
    <row r="124" spans="1:64" ht="9.75" hidden="1" customHeight="1">
      <c r="J124" s="805"/>
    </row>
    <row r="125" spans="1:64" ht="23.1" customHeight="1">
      <c r="A125" s="1977" t="s">
        <v>2169</v>
      </c>
      <c r="B125" s="1977"/>
      <c r="C125" s="1977"/>
      <c r="D125" s="1977"/>
      <c r="E125" s="1977"/>
      <c r="F125" s="1977"/>
      <c r="G125" s="1977"/>
      <c r="H125" s="1977"/>
      <c r="I125" s="1977"/>
      <c r="J125" s="805"/>
      <c r="K125" s="1080"/>
      <c r="L125" s="1080"/>
      <c r="M125" s="1080"/>
      <c r="N125" s="1080"/>
      <c r="O125" s="1080"/>
      <c r="P125" s="1080"/>
      <c r="Q125" s="1080"/>
      <c r="R125" s="1080"/>
      <c r="S125" s="1080"/>
      <c r="T125" s="1080"/>
      <c r="U125" s="1080"/>
      <c r="V125" s="1080"/>
      <c r="W125" s="1080"/>
      <c r="X125" s="1080"/>
      <c r="Y125" s="1080"/>
      <c r="Z125" s="1080"/>
      <c r="AA125" s="1080"/>
      <c r="AB125" s="1080"/>
      <c r="AC125" s="1080"/>
      <c r="AD125" s="1080"/>
      <c r="AE125" s="1080"/>
      <c r="AF125" s="1080"/>
      <c r="AG125" s="1080"/>
      <c r="AH125" s="1080"/>
      <c r="AI125" s="1080"/>
      <c r="AJ125" s="1080"/>
      <c r="AK125" s="1080"/>
      <c r="AL125" s="1080"/>
      <c r="AM125" s="1080"/>
      <c r="AN125" s="1080"/>
      <c r="AO125" s="1080"/>
      <c r="AP125" s="1080"/>
      <c r="AQ125" s="1080"/>
      <c r="AR125" s="1080"/>
      <c r="AS125" s="1080"/>
      <c r="AT125" s="1080"/>
      <c r="AU125" s="1080"/>
      <c r="AV125" s="1080"/>
      <c r="AW125" s="1080"/>
      <c r="AX125" s="1080"/>
      <c r="AY125" s="1080"/>
      <c r="AZ125" s="1080"/>
      <c r="BA125" s="1080"/>
      <c r="BB125" s="1080"/>
      <c r="BC125" s="1080"/>
      <c r="BD125" s="1080"/>
      <c r="BE125" s="1080"/>
      <c r="BF125" s="1080"/>
      <c r="BG125" s="1080"/>
      <c r="BH125" s="1080"/>
      <c r="BI125" s="1080"/>
      <c r="BJ125" s="1080"/>
      <c r="BK125" s="1080"/>
      <c r="BL125" s="1080"/>
    </row>
    <row r="126" spans="1:64" ht="18.75" customHeight="1">
      <c r="A126" s="836"/>
      <c r="B126" s="1079" t="s">
        <v>246</v>
      </c>
      <c r="C126" s="1079" t="str">
        <f>IF(Zusatzeingaben!C6&lt;&gt;0,Zusatzeingaben!C6,Zusatzeingaben!C4)</f>
        <v>Antragsteller</v>
      </c>
      <c r="D126" s="1079" t="str">
        <f>IF(Zusatzeingaben!D6&lt;&gt;0,Zusatzeingaben!D6,Zusatzeingaben!D4)</f>
        <v>Partner(in)</v>
      </c>
      <c r="E126" s="1079" t="str">
        <f>IF(Zusatzeingaben!E6&lt;&gt;0,Zusatzeingaben!E6,Zusatzeingaben!E4)</f>
        <v>Kind 1</v>
      </c>
      <c r="F126" s="1079" t="str">
        <f>IF(Zusatzeingaben!F6&lt;&gt;0,Zusatzeingaben!F6,Zusatzeingaben!F4)</f>
        <v>Kind 2</v>
      </c>
      <c r="G126" s="1079" t="str">
        <f>IF(Zusatzeingaben!G6&lt;&gt;0,Zusatzeingaben!G6,Zusatzeingaben!G4)</f>
        <v>Kind 3</v>
      </c>
      <c r="H126" s="837" t="str">
        <f>IF(Zusatzeingaben!H6&lt;&gt;0,Zusatzeingaben!H6,Zusatzeingaben!H4)</f>
        <v>Kind 4</v>
      </c>
      <c r="I126" s="838" t="str">
        <f>IF(Zusatzeingaben!I6&lt;&gt;0,Zusatzeingaben!I6,Zusatzeingaben!I4)</f>
        <v>Kind 5</v>
      </c>
      <c r="J126" s="805"/>
    </row>
    <row r="127" spans="1:64" ht="17.25" customHeight="1">
      <c r="A127" s="849" t="s">
        <v>127</v>
      </c>
      <c r="B127" s="1093">
        <f>SUM(C127:I127)</f>
        <v>449</v>
      </c>
      <c r="C127" s="915">
        <f t="shared" ref="C127:I127" si="16">C50</f>
        <v>449</v>
      </c>
      <c r="D127" s="915">
        <f t="shared" si="16"/>
        <v>0</v>
      </c>
      <c r="E127" s="915">
        <f t="shared" si="16"/>
        <v>0</v>
      </c>
      <c r="F127" s="915">
        <f t="shared" si="16"/>
        <v>0</v>
      </c>
      <c r="G127" s="915">
        <f t="shared" si="16"/>
        <v>0</v>
      </c>
      <c r="H127" s="914">
        <f t="shared" si="16"/>
        <v>0</v>
      </c>
      <c r="I127" s="916">
        <f t="shared" si="16"/>
        <v>0</v>
      </c>
      <c r="J127" s="805"/>
    </row>
    <row r="128" spans="1:64" ht="19.5" customHeight="1">
      <c r="A128" s="1139">
        <f>IF(B128&gt;0,"./. Einkommen Kinder",0)</f>
        <v>0</v>
      </c>
      <c r="B128" s="1140">
        <f>SUM(C128:I128)</f>
        <v>0</v>
      </c>
      <c r="C128" s="1141"/>
      <c r="D128" s="1141"/>
      <c r="E128" s="1142">
        <f>E122</f>
        <v>0</v>
      </c>
      <c r="F128" s="1142">
        <f>F122</f>
        <v>0</v>
      </c>
      <c r="G128" s="1142">
        <f>G122</f>
        <v>0</v>
      </c>
      <c r="H128" s="1143">
        <f>H122</f>
        <v>0</v>
      </c>
      <c r="I128" s="1144">
        <f>I122</f>
        <v>0</v>
      </c>
      <c r="J128" s="805"/>
    </row>
    <row r="129" spans="1:11" ht="17.25" hidden="1" customHeight="1">
      <c r="A129" s="1145"/>
      <c r="B129" s="1146"/>
      <c r="C129" s="1147"/>
      <c r="D129" s="1147"/>
      <c r="E129" s="1117">
        <f>E127-E128</f>
        <v>0</v>
      </c>
      <c r="F129" s="1117">
        <f>F127-F128</f>
        <v>0</v>
      </c>
      <c r="G129" s="1117">
        <f>G127-G128</f>
        <v>0</v>
      </c>
      <c r="H129" s="1148">
        <f>H127-H128</f>
        <v>0</v>
      </c>
      <c r="I129" s="1118">
        <f>I127-I128</f>
        <v>0</v>
      </c>
      <c r="J129" s="805"/>
    </row>
    <row r="130" spans="1:11" ht="17.25" hidden="1" customHeight="1">
      <c r="A130" s="1149"/>
      <c r="B130" s="1150"/>
      <c r="C130" s="1151"/>
      <c r="D130" s="1151"/>
      <c r="E130" s="1151">
        <f>IF(E129&lt;0,0,E129)</f>
        <v>0</v>
      </c>
      <c r="F130" s="1151">
        <f>IF(F129&lt;0,0,F129)</f>
        <v>0</v>
      </c>
      <c r="G130" s="1151">
        <f>IF(G129&lt;0,0,G129)</f>
        <v>0</v>
      </c>
      <c r="H130" s="1152">
        <f>IF(H129&lt;0,0,H129)</f>
        <v>0</v>
      </c>
      <c r="I130" s="1153">
        <f>IF(I129&lt;0,0,I129)</f>
        <v>0</v>
      </c>
      <c r="J130" s="805"/>
    </row>
    <row r="131" spans="1:11" ht="19.5" customHeight="1">
      <c r="A131" s="1058" t="s">
        <v>2170</v>
      </c>
      <c r="B131" s="1093">
        <f>SUM(C131:I131)</f>
        <v>449</v>
      </c>
      <c r="C131" s="915">
        <f>C127</f>
        <v>449</v>
      </c>
      <c r="D131" s="915">
        <f>D127</f>
        <v>0</v>
      </c>
      <c r="E131" s="915">
        <f>E130</f>
        <v>0</v>
      </c>
      <c r="F131" s="915">
        <f>F130</f>
        <v>0</v>
      </c>
      <c r="G131" s="915">
        <f>G130</f>
        <v>0</v>
      </c>
      <c r="H131" s="914">
        <f>H130</f>
        <v>0</v>
      </c>
      <c r="I131" s="916">
        <f>I130</f>
        <v>0</v>
      </c>
      <c r="J131" s="805"/>
      <c r="K131" s="1154"/>
    </row>
    <row r="132" spans="1:11" ht="18" hidden="1" customHeight="1">
      <c r="A132" s="1058"/>
      <c r="B132" s="1093">
        <f>SUM(C132:I132)</f>
        <v>449</v>
      </c>
      <c r="C132" s="915">
        <f>IF(C10="ja",C131,0)</f>
        <v>449</v>
      </c>
      <c r="D132" s="915">
        <f>IF(D10="ja",D131,0)</f>
        <v>0</v>
      </c>
      <c r="E132" s="915">
        <f>IF(AND(Zusatzeingaben!E37="",E10="ja"),E131,0)</f>
        <v>0</v>
      </c>
      <c r="F132" s="915">
        <f>IF(AND(Zusatzeingaben!F37="",F10="ja"),F131,0)</f>
        <v>0</v>
      </c>
      <c r="G132" s="915">
        <f>IF(AND(Zusatzeingaben!G37="",G10="ja"),G131,0)</f>
        <v>0</v>
      </c>
      <c r="H132" s="915">
        <f>IF(AND(Zusatzeingaben!H37="",H10="ja"),H131,0)</f>
        <v>0</v>
      </c>
      <c r="I132" s="915">
        <f>IF(AND(Zusatzeingaben!I37="",I10="ja"),I131,0)</f>
        <v>0</v>
      </c>
      <c r="J132" s="805"/>
    </row>
    <row r="133" spans="1:11" ht="17.25" customHeight="1">
      <c r="A133" s="1155" t="s">
        <v>2171</v>
      </c>
      <c r="B133" s="1156">
        <f>SUM(C133:I133)</f>
        <v>1</v>
      </c>
      <c r="C133" s="1157">
        <f>IF(AND(B132&gt;0,C10="ja"),C132/B132,0)</f>
        <v>1</v>
      </c>
      <c r="D133" s="1157">
        <f t="shared" ref="D133:I133" si="17">IF(AND($B$132&gt;0,D11&gt;0,D10="ja"),D132/$B$132,0)</f>
        <v>0</v>
      </c>
      <c r="E133" s="1157">
        <f t="shared" si="17"/>
        <v>0</v>
      </c>
      <c r="F133" s="1157">
        <f t="shared" si="17"/>
        <v>0</v>
      </c>
      <c r="G133" s="1157">
        <f t="shared" si="17"/>
        <v>0</v>
      </c>
      <c r="H133" s="1158">
        <f t="shared" si="17"/>
        <v>0</v>
      </c>
      <c r="I133" s="1159">
        <f t="shared" si="17"/>
        <v>0</v>
      </c>
      <c r="J133" s="805"/>
    </row>
    <row r="134" spans="1:11" ht="19.5" hidden="1" customHeight="1">
      <c r="A134" s="1160"/>
      <c r="B134" s="924"/>
      <c r="C134" s="1157"/>
      <c r="D134" s="1157"/>
      <c r="E134" s="924">
        <f>IF(E129&lt;0,E129,0)</f>
        <v>0</v>
      </c>
      <c r="F134" s="924">
        <f>IF(F129&lt;0,F129,0)</f>
        <v>0</v>
      </c>
      <c r="G134" s="924">
        <f>IF(G129&lt;0,G129,0)</f>
        <v>0</v>
      </c>
      <c r="H134" s="913">
        <f>IF(H129&lt;0,H129,0)</f>
        <v>0</v>
      </c>
      <c r="I134" s="925">
        <f>IF(I129&lt;0,I129,0)</f>
        <v>0</v>
      </c>
      <c r="J134" s="805"/>
    </row>
    <row r="135" spans="1:11" ht="17.25" hidden="1">
      <c r="A135" s="1161"/>
      <c r="B135" s="1111"/>
      <c r="C135" s="1111"/>
      <c r="D135" s="1111"/>
      <c r="E135" s="1111">
        <f>IF(E134&lt;-E62,-E62,E134)</f>
        <v>0</v>
      </c>
      <c r="F135" s="1111">
        <f>IF(F134&lt;-F62,-F62,F134)</f>
        <v>0</v>
      </c>
      <c r="G135" s="1111">
        <f>IF(G134&lt;-G62,-G62,G134)</f>
        <v>0</v>
      </c>
      <c r="H135" s="1162">
        <f>IF(H134&lt;-H62,-H62,H134)</f>
        <v>0</v>
      </c>
      <c r="I135" s="1112">
        <f>IF(I134&lt;-I62,-I62,I134)</f>
        <v>0</v>
      </c>
      <c r="J135" s="805"/>
    </row>
    <row r="136" spans="1:11" ht="19.5" hidden="1" customHeight="1">
      <c r="A136" s="1161"/>
      <c r="B136" s="1111">
        <f>SUM(E136:I136)</f>
        <v>0</v>
      </c>
      <c r="C136" s="1111"/>
      <c r="D136" s="1111"/>
      <c r="E136" s="1111">
        <f>-E135*1</f>
        <v>0</v>
      </c>
      <c r="F136" s="1111">
        <f>-F135*1</f>
        <v>0</v>
      </c>
      <c r="G136" s="1111">
        <f>-G135*1</f>
        <v>0</v>
      </c>
      <c r="H136" s="1162">
        <f>-H135*1</f>
        <v>0</v>
      </c>
      <c r="I136" s="1112">
        <f>-I135*1</f>
        <v>0</v>
      </c>
      <c r="J136" s="805"/>
    </row>
    <row r="137" spans="1:11" ht="18" customHeight="1">
      <c r="A137" s="1163">
        <f>IF(OR(C137&gt;0,D137&gt;0),"übertragbares Kindergeld",0)</f>
        <v>0</v>
      </c>
      <c r="B137" s="1146"/>
      <c r="C137" s="1164">
        <f>$B$136</f>
        <v>0</v>
      </c>
      <c r="D137" s="1164"/>
      <c r="E137" s="1165"/>
      <c r="F137" s="1165"/>
      <c r="G137" s="1165"/>
      <c r="H137" s="1166"/>
      <c r="I137" s="1167"/>
      <c r="J137" s="805"/>
    </row>
    <row r="138" spans="1:11" ht="19.5" hidden="1" customHeight="1">
      <c r="A138" s="912"/>
      <c r="B138" s="1147"/>
      <c r="C138" s="1164">
        <f>IF(AND(C70&gt;0,C121&lt;=0,C137&gt;0,C113=0),C121*-1,IF(AND(C122=0,C137&gt;0,C113=0),30+Zusatzeingaben!C203+Zusatzeingaben!C204+Zusatzeingaben!C211,IF(AND(C70=C113,C122=0,C137&gt;0,C113&gt;0,C113&lt;30+Zusatzeingaben!C203+Zusatzeingaben!C204+Zusatzeingaben!C211),30+Zusatzeingaben!C203+Zusatzeingaben!C204+Zusatzeingaben!C211-C113,IF(AND(C122=0,C137&gt;0,C113&gt;0,C113&lt;30+Zusatzeingaben!C203+Zusatzeingaben!C204+Zusatzeingaben!C211,C121&lt;0),C121*-1,0))))</f>
        <v>0</v>
      </c>
      <c r="D138" s="1164">
        <f>IF(AND(D70&gt;0,D121&lt;=0,D137&gt;0,D113=0),D121*-1,IF(AND(D122=0,D137&gt;0,D113=0),30+Zusatzeingaben!D203+Zusatzeingaben!D204+Zusatzeingaben!D211,IF(AND(D70=D113,D122=0,D137&gt;0,D113&gt;0,D113&lt;30+Zusatzeingaben!D203+Zusatzeingaben!D204+Zusatzeingaben!D211),30+Zusatzeingaben!D203+Zusatzeingaben!D204+Zusatzeingaben!D211-D113,IF(AND(D122=0,D137&gt;0,D113&gt;0,D113&lt;30+Zusatzeingaben!D203+Zusatzeingaben!D204+Zusatzeingaben!D211,D121&lt;0),D121*-1,0))))</f>
        <v>0</v>
      </c>
      <c r="E138" s="1164">
        <f>IF(AND(E122=0,E137&gt;0),30+Zusatzeingaben!E204+Zusatzeingaben!E205+Zusatzeingaben!E213,0)</f>
        <v>0</v>
      </c>
      <c r="F138" s="1164">
        <f>IF(AND(F122=0,F137&gt;0),30+Zusatzeingaben!F204+Zusatzeingaben!F205+Zusatzeingaben!F213,0)</f>
        <v>0</v>
      </c>
      <c r="G138" s="1164">
        <f>IF(AND(G122=0,G137&gt;0),30+Zusatzeingaben!G204+Zusatzeingaben!G205+Zusatzeingaben!G213,0)</f>
        <v>0</v>
      </c>
      <c r="H138" s="1168">
        <f>IF(AND(H122=0,H137&gt;0),30+Zusatzeingaben!H204+Zusatzeingaben!H205+Zusatzeingaben!H213,0)</f>
        <v>0</v>
      </c>
      <c r="I138" s="1169">
        <f>IF(AND(I122=0,I137&gt;0),30+Zusatzeingaben!I204+Zusatzeingaben!I205+Zusatzeingaben!I213,0)</f>
        <v>0</v>
      </c>
      <c r="J138" s="805"/>
    </row>
    <row r="139" spans="1:11" ht="19.5" hidden="1" customHeight="1">
      <c r="A139" s="912"/>
      <c r="B139" s="1147"/>
      <c r="C139" s="1164">
        <f>C137-C138</f>
        <v>0</v>
      </c>
      <c r="D139" s="1164">
        <f>D137-D138</f>
        <v>0</v>
      </c>
      <c r="E139" s="1165"/>
      <c r="F139" s="1165"/>
      <c r="G139" s="1165"/>
      <c r="H139" s="1166"/>
      <c r="I139" s="1167"/>
      <c r="J139" s="805"/>
    </row>
    <row r="140" spans="1:11" ht="19.5" hidden="1" customHeight="1">
      <c r="A140" s="912"/>
      <c r="B140" s="1147"/>
      <c r="C140" s="1164">
        <f>IF(C139&lt;0,0,C139)</f>
        <v>0</v>
      </c>
      <c r="D140" s="1164">
        <f>IF(D139&lt;0,0,D139)</f>
        <v>0</v>
      </c>
      <c r="E140" s="1165"/>
      <c r="F140" s="1165"/>
      <c r="G140" s="1165"/>
      <c r="H140" s="1166"/>
      <c r="I140" s="1167"/>
      <c r="J140" s="805"/>
    </row>
    <row r="141" spans="1:11" ht="17.25" customHeight="1">
      <c r="A141" s="1160">
        <f>IF(B141&gt;0,"Einkommen",0)</f>
        <v>0</v>
      </c>
      <c r="B141" s="1156">
        <f>C141+D141</f>
        <v>0</v>
      </c>
      <c r="C141" s="924">
        <f>C122+C140</f>
        <v>0</v>
      </c>
      <c r="D141" s="924">
        <f>D122+D140</f>
        <v>0</v>
      </c>
      <c r="E141" s="1170"/>
      <c r="F141" s="1170"/>
      <c r="G141" s="1170"/>
      <c r="H141" s="1171"/>
      <c r="I141" s="1172"/>
      <c r="J141" s="805"/>
    </row>
    <row r="142" spans="1:11" ht="17.25" hidden="1">
      <c r="A142" s="1173"/>
      <c r="B142" s="1150"/>
      <c r="C142" s="1111">
        <f>C127-C141</f>
        <v>449</v>
      </c>
      <c r="D142" s="1111">
        <f>D127-D141</f>
        <v>0</v>
      </c>
      <c r="E142" s="1174"/>
      <c r="F142" s="1174"/>
      <c r="G142" s="1174"/>
      <c r="H142" s="1175"/>
      <c r="I142" s="1176"/>
      <c r="J142" s="805"/>
    </row>
    <row r="143" spans="1:11" ht="17.25" hidden="1">
      <c r="A143" s="1173"/>
      <c r="B143" s="1150"/>
      <c r="C143" s="1111">
        <f>-1*C142</f>
        <v>-449</v>
      </c>
      <c r="D143" s="1111">
        <f>-1*D142</f>
        <v>0</v>
      </c>
      <c r="E143" s="1174"/>
      <c r="F143" s="1174"/>
      <c r="G143" s="1174"/>
      <c r="H143" s="1175"/>
      <c r="I143" s="1176"/>
      <c r="J143" s="805"/>
    </row>
    <row r="144" spans="1:11" ht="17.25" hidden="1">
      <c r="A144" s="1173"/>
      <c r="B144" s="1150"/>
      <c r="C144" s="1111">
        <f>IF(C143&gt;0,C143,0)</f>
        <v>0</v>
      </c>
      <c r="D144" s="1111">
        <f>IF(D143&gt;0,D143,0)</f>
        <v>0</v>
      </c>
      <c r="E144" s="1111"/>
      <c r="F144" s="1111"/>
      <c r="G144" s="1111"/>
      <c r="H144" s="1162"/>
      <c r="I144" s="1112"/>
      <c r="J144" s="805"/>
    </row>
    <row r="145" spans="1:64" ht="17.25">
      <c r="A145" s="1160">
        <f>IF(B145&gt;0,"./. nicht verteilbares Einkommen",0)</f>
        <v>0</v>
      </c>
      <c r="B145" s="1093">
        <f>C145+D145</f>
        <v>0</v>
      </c>
      <c r="C145" s="924">
        <f>IF(AND($B$7&gt;2,D133&gt;0,C133=0,SUM(D131:$I$131)&lt;D141),C141,IF(OR(C10="nur Mehrbedarf",C10="nein"),C141-C146,0))</f>
        <v>0</v>
      </c>
      <c r="D145" s="924">
        <f>IF(AND($B$7&gt;2,C133&gt;0,D133=0,C131+SUM($E$131:$I$131)&lt;C141),D141,IF(OR(D10="nur Mehrbedarf",D10="nein"),D141-D146,0))</f>
        <v>0</v>
      </c>
      <c r="E145" s="924"/>
      <c r="F145" s="924"/>
      <c r="G145" s="924"/>
      <c r="H145" s="913"/>
      <c r="I145" s="925"/>
      <c r="J145" s="805"/>
    </row>
    <row r="146" spans="1:64" ht="17.25" customHeight="1">
      <c r="A146" s="849">
        <f>IF(B146&gt;0,"verteilbares Einkommen",0)</f>
        <v>0</v>
      </c>
      <c r="B146" s="1156">
        <f>C146+D146</f>
        <v>0</v>
      </c>
      <c r="C146" s="924">
        <f>IF(AND($B$7&gt;2,D133&gt;0,C133=0,SUM(D131:$I$131)&lt;D141),0,IF(AND(C10="nur Mehrbedarf",C141&lt;C131+C150),0,IF(AND(C10="nur Mehrbedarf",C144&gt;C150),C144-C150,IF(AND(C10="nein",C144&gt;0),C144,IF(AND(C10="nur Mehrbedarf",C144=0),0,IF(AND(C10="nein",C144=0),0,C141))))))</f>
        <v>0</v>
      </c>
      <c r="D146" s="924">
        <f>IF(AND($B$7&gt;2,C133&gt;0,D133=0,C131+SUM($E$131:$I$131)&lt;C141),0,IF(AND(D10="nur Mehrbedarf",D141&lt;D131+D150),0,IF(AND(D10="nur Mehrbedarf",D144&gt;D150),D144-D150,IF(AND(D10="nein",D144&gt;0),D144,IF(AND(D10="nur Mehrbedarf",D144=0),0,IF(AND(D10="nein",D144=0),0,D141))))))</f>
        <v>0</v>
      </c>
      <c r="E146" s="1177"/>
      <c r="F146" s="1177"/>
      <c r="G146" s="1177"/>
      <c r="H146" s="1178"/>
      <c r="I146" s="1179"/>
      <c r="J146" s="805"/>
    </row>
    <row r="147" spans="1:64" ht="17.25" hidden="1" customHeight="1">
      <c r="A147" s="1180"/>
      <c r="B147" s="1181">
        <f>SUM(C147:I147)</f>
        <v>0</v>
      </c>
      <c r="C147" s="924">
        <f>IF(AND($B$133=0,D131=0),C146,IF(AND($B$133=0,D146&gt;0,C131&gt;0),D146,IF(AND($B$7&gt;2,C133=0,D133=0,D146+C145&lt;C131),D146,IF(AND($B$7&gt;2,C133=0,D133=0,D146+C145&gt;C131),C131+D131-B145,IF(AND($B$7=2,C133&gt;0,D10="nur Mehrbedarf",D150+D131&gt;D141,C141&gt;C131),C131,$B$146*C133)))))</f>
        <v>0</v>
      </c>
      <c r="D147" s="924">
        <f>IF(AND($B$133=0,C131=0),D146,IF(AND($B$133=0,C146&gt;0,D131&gt;0),C146,IF(AND($B$7&gt;2,D131&gt;0,D133=0,C133=0,C146+D145&lt;D131),C146,IF(AND(B7&gt;2,D131&gt;0,C133=0,D133=0,C146+D145&gt;D131),C131+D131-B145,IF(AND($B$7=2,C10="nur Mehrbedarf",D133&gt;0,C150+C131&gt;C141,D141&gt;D131),D131,$B$146*D133)))))</f>
        <v>0</v>
      </c>
      <c r="E147" s="924">
        <f>IF(AND($C$150&gt;0,$C$146=0,$B$146*E133&gt;E131,$D$146&lt;$D$131+SUM($E$131:$I$131)),E131,IF(AND($D$150&gt;0,$D$146=0,$B$146*E133&gt;E131,$C$146&lt;$C$131+SUM($E$131:$I$131)),E131,IF(AND($B$7&gt;2,$C$133=0,$D$133=0,$C$131+$D$131&gt;$B$141),0,IF(AND($B$7&gt;2,E131&gt;0,$C$133=0,$D$133=0,$C$131+$D$131&lt;$B$141),($B$141-($C$131+$D$131))*E133,$B$146*E133))))</f>
        <v>0</v>
      </c>
      <c r="F147" s="924">
        <f>IF(AND($C$150&gt;0,$C$146=0,$B$146*F133&gt;F131,$D$146&lt;$D$131+SUM($E$131:$I$131)),F131,IF(AND($D$150&gt;0,$D$146=0,$B$146*F133&gt;F131,$C$146&lt;$C$131+SUM($E$131:$I$131)),F131,IF(AND($B$7&gt;2,$C$133=0,$D$133=0,$C$131+$D$131&gt;$B$141),0,IF(AND($B$7&gt;2,F131&gt;0,$C$133=0,$D$133=0,$C$131+$D$131&lt;$B$141),($B$141-($C$131+$D$131))*F133,$B$146*F133))))</f>
        <v>0</v>
      </c>
      <c r="G147" s="924">
        <f>IF(AND($C$150&gt;0,$C$146=0,$B$146*G133&gt;G131,$D$146&lt;$D$131+SUM($E$131:$I$131)),G131,IF(AND($D$150&gt;0,$D$146=0,$B$146*G133&gt;G131,$C$146&lt;$C$131+SUM($E$131:$I$131)),G131,IF(AND($B$7&gt;2,$C$133=0,$D$133=0,$C$131+$D$131&gt;$B$141),0,IF(AND($B$7&gt;2,G131&gt;0,$C$133=0,$D$133=0,$C$131+$D$131&lt;$B$141),($B$141-($C$131+$D$131))*G133,$B$146*G133))))</f>
        <v>0</v>
      </c>
      <c r="H147" s="913">
        <f>IF(AND($C$150&gt;0,$C$146=0,$B$146*H133&gt;H131,$D$146&lt;$D$131+SUM($E$131:$I$131)),H131,IF(AND($D$150&gt;0,$D$146=0,$B$146*H133&gt;H131,$C$146&lt;$C$131+SUM($E$131:$I$131)),H131,IF(AND($B$7&gt;2,$C$133=0,$D$133=0,$C$131+$D$131&gt;$B$141),0,IF(AND($B$7&gt;2,H131&gt;0,$C$133=0,$D$133=0,$C$131+$D$131&lt;$B$141),($B$141-($C$131+$D$131))*H133,$B$146*H133))))</f>
        <v>0</v>
      </c>
      <c r="I147" s="925">
        <f>IF(AND($C$150&gt;0,$C$146=0,$B$146*I133&gt;I131,$D$146&lt;$D$131+SUM($E$131:$I$131)),I131,IF(AND($D$150&gt;0,$D$146=0,$B$146*I133&gt;I131,$C$146&lt;$C$131+SUM($E$131:$I$131)),I131,IF(AND($B$7&gt;2,$C$133=0,$D$133=0,$C$131+$D$131&gt;$B$141),0,IF(AND($B$7&gt;2,I131&gt;0,$C$133=0,$D$133=0,$C$131+$D$131&lt;$B$141),($B$141-($C$131+$D$131))*I133,$B$146*I133))))</f>
        <v>0</v>
      </c>
      <c r="J147" s="805"/>
    </row>
    <row r="148" spans="1:64" ht="18.75" customHeight="1">
      <c r="A148" s="1139">
        <f>IF(B148&gt;0,"./. verteiltes Einkommen",0)</f>
        <v>0</v>
      </c>
      <c r="B148" s="1109">
        <f>SUM(C148:I148)</f>
        <v>0</v>
      </c>
      <c r="C148" s="1182">
        <f>IF(C147&lt;0,0,IF(AND(C150&gt;0,D146&gt;0,D146&lt;&gt;C147,C146&gt;0,C145&lt;C131+C150),C146+C147,IF(AND(D133&gt;0,C133=0,D146&gt;D147+E147+F147+G147+H147+I147),D146-D147-E147-F147-G147-H147-I147,IF(AND($B$7=2,$B$133=0,C146&gt;0,D146&gt;0),C146,IF(AND($B$7&gt;2,C133+D133=0,C146&gt;0,D146&gt;0),($B$146-E147-F147-G147-H147-I147)*C131/(C131+D131),C147)))))</f>
        <v>0</v>
      </c>
      <c r="D148" s="1182">
        <f>IF(D147&lt;0,0,IF(AND(D150&gt;0,C146&gt;0,C146&lt;&gt;D147,D146&gt;0,D145&lt;D131+D150),D146+D147,IF(AND(C133&gt;0,D133=0,C146&gt;C147+E147+F147+G147+H147+I147),C146-C147-E147-F147-G147-H147-I147,IF(AND($B$7=2,$B$133=0,C146&gt;0,D146&gt;0),D146,IF(AND($B$7&gt;2,C133+D133=0,C146&gt;0,D146&gt;0),($B$146-E147-F147-G147-H147-I147)*D131/(C131+D131),D147)))))</f>
        <v>0</v>
      </c>
      <c r="E148" s="1183">
        <f>IF(AND($C$147=0,$D$147=0,$B$147&lt;$B$146),$B$146*E133,E147)</f>
        <v>0</v>
      </c>
      <c r="F148" s="1183">
        <f>IF(AND($C$147=0,$D$147=0,$B$147&lt;$B$146),$B$146*F133,F147)</f>
        <v>0</v>
      </c>
      <c r="G148" s="1183">
        <f>IF(AND($C$147=0,$D$147=0,$B$147&lt;$B$146),$B$146*G133,G147)</f>
        <v>0</v>
      </c>
      <c r="H148" s="1184">
        <f>IF(AND($C$147=0,$D$147=0,$B$147&lt;$B$146),$B$146*H133,H147)</f>
        <v>0</v>
      </c>
      <c r="I148" s="1185">
        <f>IF(AND($C$147=0,$D$147=0,$B$147&lt;$B$146),$B$146*I133,I147)</f>
        <v>0</v>
      </c>
      <c r="J148" s="805"/>
    </row>
    <row r="149" spans="1:64" ht="19.5" customHeight="1">
      <c r="A149" s="1186" t="s">
        <v>2172</v>
      </c>
      <c r="B149" s="1187">
        <f>SUM(C149:I149)</f>
        <v>449</v>
      </c>
      <c r="C149" s="1187">
        <f>C131-C145-C148</f>
        <v>449</v>
      </c>
      <c r="D149" s="1187">
        <f>D131-D145-D148</f>
        <v>0</v>
      </c>
      <c r="E149" s="1187">
        <f>E131-E148</f>
        <v>0</v>
      </c>
      <c r="F149" s="1187">
        <f>F131-F148</f>
        <v>0</v>
      </c>
      <c r="G149" s="1187">
        <f>G131-G148</f>
        <v>0</v>
      </c>
      <c r="H149" s="1188">
        <f>H131-H148</f>
        <v>0</v>
      </c>
      <c r="I149" s="1189">
        <f>I131-I148</f>
        <v>0</v>
      </c>
      <c r="J149" s="805"/>
    </row>
    <row r="150" spans="1:64" ht="18" customHeight="1">
      <c r="A150" s="1190">
        <f>IF(B150&gt;0,"Mehrbedarf nach § 27 (2) SGB II",0)</f>
        <v>0</v>
      </c>
      <c r="B150" s="1191">
        <f>SUM(C150:I150)</f>
        <v>0</v>
      </c>
      <c r="C150" s="915">
        <f>IF(C10="nur Mehrbedarf",Zusatzeingaben!C45+Zusatzeingaben!B46+Zusatzeingaben!C93+Zusatzeingaben!C94,0)</f>
        <v>0</v>
      </c>
      <c r="D150" s="915">
        <f>IF(D10="nur Mehrbedarf",Zusatzeingaben!D45+Zusatzeingaben!D93+Zusatzeingaben!D94,0)</f>
        <v>0</v>
      </c>
      <c r="E150" s="924"/>
      <c r="F150" s="924"/>
      <c r="G150" s="924"/>
      <c r="H150" s="913"/>
      <c r="I150" s="925"/>
      <c r="J150" s="805"/>
    </row>
    <row r="151" spans="1:64" ht="17.25" customHeight="1">
      <c r="A151" s="1192">
        <f>IF(B151&gt;0,"./. Überschuss",0)</f>
        <v>0</v>
      </c>
      <c r="B151" s="1156">
        <f>SUM(C151:I151)</f>
        <v>0</v>
      </c>
      <c r="C151" s="924">
        <f>IF(AND(C10="nur Mehrbedarf",$B$149&lt;0,D149&lt;0),$B$149*-1,IF(AND(C10="nur Mehrbedarf",$B$149&lt;0,$E$149&lt;0),$B$149*-1,IF(AND(C10="nur Mehrbedarf",D149&gt;=0,C149&lt;0),C149*-1,0)))</f>
        <v>0</v>
      </c>
      <c r="D151" s="924">
        <f>IF(AND(D10="nur Mehrbedarf",$B$149&lt;0,C149&lt;0),$B$149*-1,IF(AND(D10="nur Mehrbedarf",$B$149&lt;0,$E$149&lt;0),$B$149*-1,IF(AND(D10="nur Mehrbedarf",C149&gt;=0,D149&lt;0),D149*-1,0)))</f>
        <v>0</v>
      </c>
      <c r="E151" s="924"/>
      <c r="F151" s="924"/>
      <c r="G151" s="924"/>
      <c r="H151" s="913"/>
      <c r="I151" s="925"/>
      <c r="J151" s="805"/>
    </row>
    <row r="152" spans="1:64" ht="17.25" hidden="1" customHeight="1">
      <c r="A152" s="1193"/>
      <c r="B152" s="1194"/>
      <c r="C152" s="1195">
        <f t="shared" ref="C152:I152" si="18">C149-C157</f>
        <v>449</v>
      </c>
      <c r="D152" s="1195">
        <f t="shared" si="18"/>
        <v>0</v>
      </c>
      <c r="E152" s="1195">
        <f t="shared" si="18"/>
        <v>0</v>
      </c>
      <c r="F152" s="1195">
        <f t="shared" si="18"/>
        <v>0</v>
      </c>
      <c r="G152" s="1195">
        <f t="shared" si="18"/>
        <v>0</v>
      </c>
      <c r="H152" s="1196">
        <f t="shared" si="18"/>
        <v>0</v>
      </c>
      <c r="I152" s="1197">
        <f t="shared" si="18"/>
        <v>0</v>
      </c>
      <c r="J152" s="805"/>
    </row>
    <row r="153" spans="1:64" ht="17.25" hidden="1" customHeight="1">
      <c r="A153" s="849"/>
      <c r="B153" s="1093"/>
      <c r="C153" s="1195">
        <f>IF(Zusatzeingaben!C221="einmal",C11*0.1,IF(Zusatzeingaben!C221="zweimal",C11*0.2,IF(Zusatzeingaben!C221="dreimal",C11*0.3,0)))</f>
        <v>0</v>
      </c>
      <c r="D153" s="1195">
        <f>IF(Zusatzeingaben!D221="einmal",D11*0.1,IF(Zusatzeingaben!D221="zweimal",D11*0.2,IF(Zusatzeingaben!D221="dreimal",D11*0.3,0)))</f>
        <v>0</v>
      </c>
      <c r="E153" s="1195">
        <f>IF(Zusatzeingaben!E221="einmal",E11*0.1,IF(Zusatzeingaben!E221="zweimal",E11*0.2,IF(Zusatzeingaben!E221="dreimal",E11*0.3,0)))</f>
        <v>0</v>
      </c>
      <c r="F153" s="1195">
        <f>IF(Zusatzeingaben!F221="einmal",F11*0.1,IF(Zusatzeingaben!F221="zweimal",F11*0.2,IF(Zusatzeingaben!F221="dreimal",F11*0.3,0)))</f>
        <v>0</v>
      </c>
      <c r="G153" s="1195">
        <f>IF(Zusatzeingaben!G221="einmal",G11*0.1,IF(Zusatzeingaben!G221="zweimal",G11*0.2,IF(Zusatzeingaben!G221="dreimal",G11*0.3,0)))</f>
        <v>0</v>
      </c>
      <c r="H153" s="1196">
        <f>IF(Zusatzeingaben!H221="einmal",H11*0.1,IF(Zusatzeingaben!H221="zweimal",H11*0.2,IF(Zusatzeingaben!H221="dreimal",H11*0.3,0)))</f>
        <v>0</v>
      </c>
      <c r="I153" s="1197">
        <f>IF(Zusatzeingaben!I221="einmal",I11*0.1,IF(Zusatzeingaben!I221="zweimal",I11*0.2,IF(Zusatzeingaben!I221="dreimal",I11*0.3,0)))</f>
        <v>0</v>
      </c>
      <c r="J153" s="805"/>
    </row>
    <row r="154" spans="1:64" ht="17.25" hidden="1" customHeight="1">
      <c r="A154" s="1193"/>
      <c r="B154" s="1093"/>
      <c r="C154" s="924">
        <f t="shared" ref="C154:I154" si="19">IF(C152&gt;C149,C149,C152)</f>
        <v>449</v>
      </c>
      <c r="D154" s="924">
        <f t="shared" si="19"/>
        <v>0</v>
      </c>
      <c r="E154" s="924">
        <f t="shared" si="19"/>
        <v>0</v>
      </c>
      <c r="F154" s="924">
        <f t="shared" si="19"/>
        <v>0</v>
      </c>
      <c r="G154" s="924">
        <f t="shared" si="19"/>
        <v>0</v>
      </c>
      <c r="H154" s="913">
        <f t="shared" si="19"/>
        <v>0</v>
      </c>
      <c r="I154" s="925">
        <f t="shared" si="19"/>
        <v>0</v>
      </c>
      <c r="J154" s="805"/>
    </row>
    <row r="155" spans="1:64" ht="17.25" customHeight="1">
      <c r="A155" s="1192">
        <f>IF(B155&gt;0,"./. Minderung Meldeversäumnis",0)</f>
        <v>0</v>
      </c>
      <c r="B155" s="1093">
        <f>SUM(C155:I155)</f>
        <v>0</v>
      </c>
      <c r="C155" s="924">
        <f t="shared" ref="C155:I155" si="20">IF(OR(C149&lt;0,C153=0),0,MIN(C154,C153))</f>
        <v>0</v>
      </c>
      <c r="D155" s="924">
        <f t="shared" si="20"/>
        <v>0</v>
      </c>
      <c r="E155" s="924">
        <f t="shared" si="20"/>
        <v>0</v>
      </c>
      <c r="F155" s="924">
        <f t="shared" si="20"/>
        <v>0</v>
      </c>
      <c r="G155" s="924">
        <f t="shared" si="20"/>
        <v>0</v>
      </c>
      <c r="H155" s="913">
        <f t="shared" si="20"/>
        <v>0</v>
      </c>
      <c r="I155" s="925">
        <f t="shared" si="20"/>
        <v>0</v>
      </c>
      <c r="J155" s="805"/>
    </row>
    <row r="156" spans="1:64" ht="17.25" hidden="1" customHeight="1">
      <c r="A156" s="1198"/>
      <c r="B156" s="1199"/>
      <c r="C156" s="1111">
        <f>Zusatzeingaben!C225</f>
        <v>0</v>
      </c>
      <c r="D156" s="1111">
        <f>Zusatzeingaben!D225</f>
        <v>0</v>
      </c>
      <c r="E156" s="1111">
        <f>Zusatzeingaben!E225</f>
        <v>0</v>
      </c>
      <c r="F156" s="1111">
        <f>Zusatzeingaben!F225</f>
        <v>0</v>
      </c>
      <c r="G156" s="1111">
        <f>Zusatzeingaben!G225</f>
        <v>0</v>
      </c>
      <c r="H156" s="1162">
        <f>Zusatzeingaben!H225</f>
        <v>0</v>
      </c>
      <c r="I156" s="1112">
        <f>Zusatzeingaben!I225</f>
        <v>0</v>
      </c>
      <c r="J156" s="805"/>
    </row>
    <row r="157" spans="1:64" ht="17.25" hidden="1" customHeight="1">
      <c r="A157" s="1092"/>
      <c r="B157" s="1200"/>
      <c r="C157" s="1195">
        <f t="shared" ref="C157:I157" si="21">IF(C156&gt;C149,C149,C156)</f>
        <v>0</v>
      </c>
      <c r="D157" s="1195">
        <f t="shared" si="21"/>
        <v>0</v>
      </c>
      <c r="E157" s="1195">
        <f t="shared" si="21"/>
        <v>0</v>
      </c>
      <c r="F157" s="1195">
        <f t="shared" si="21"/>
        <v>0</v>
      </c>
      <c r="G157" s="1195">
        <f t="shared" si="21"/>
        <v>0</v>
      </c>
      <c r="H157" s="1196">
        <f t="shared" si="21"/>
        <v>0</v>
      </c>
      <c r="I157" s="1197">
        <f t="shared" si="21"/>
        <v>0</v>
      </c>
      <c r="J157" s="805"/>
    </row>
    <row r="158" spans="1:64" ht="18" customHeight="1">
      <c r="A158" s="1201">
        <f>IF(B158&gt;0,"./. Minderung Pflichtverletzung",0)</f>
        <v>0</v>
      </c>
      <c r="B158" s="1202">
        <f>SUM(C158:I158)</f>
        <v>0</v>
      </c>
      <c r="C158" s="1066">
        <f t="shared" ref="C158:I158" si="22">IF(C157&lt;0,0,C157)</f>
        <v>0</v>
      </c>
      <c r="D158" s="1066">
        <f t="shared" si="22"/>
        <v>0</v>
      </c>
      <c r="E158" s="1066">
        <f t="shared" si="22"/>
        <v>0</v>
      </c>
      <c r="F158" s="1066">
        <f t="shared" si="22"/>
        <v>0</v>
      </c>
      <c r="G158" s="1066">
        <f t="shared" si="22"/>
        <v>0</v>
      </c>
      <c r="H158" s="1065">
        <f t="shared" si="22"/>
        <v>0</v>
      </c>
      <c r="I158" s="1067">
        <f t="shared" si="22"/>
        <v>0</v>
      </c>
      <c r="J158" s="805"/>
    </row>
    <row r="159" spans="1:64" ht="16.5" hidden="1" customHeight="1">
      <c r="A159" s="1203"/>
      <c r="B159" s="1204"/>
      <c r="C159" s="1205">
        <f>IF(C10="nur Mehrbedarf",C150-C151,0)</f>
        <v>0</v>
      </c>
      <c r="D159" s="1205">
        <f>IF(D10="nur Mehrbedarf",D150-D151,0)</f>
        <v>0</v>
      </c>
      <c r="E159" s="1205"/>
      <c r="F159" s="1205"/>
      <c r="G159" s="1205"/>
      <c r="H159" s="1206"/>
      <c r="I159" s="953"/>
      <c r="J159" s="805"/>
      <c r="K159" s="1207"/>
      <c r="L159" s="1207"/>
      <c r="M159" s="1080"/>
      <c r="N159" s="1080"/>
      <c r="O159" s="1080"/>
      <c r="P159" s="1080"/>
      <c r="Q159" s="1080"/>
      <c r="R159" s="1080"/>
      <c r="S159" s="1080"/>
      <c r="T159" s="1080"/>
      <c r="U159" s="1080"/>
      <c r="V159" s="1080"/>
      <c r="W159" s="1080"/>
      <c r="X159" s="1080"/>
      <c r="Y159" s="1080"/>
      <c r="Z159" s="1080"/>
      <c r="AA159" s="1080"/>
      <c r="AB159" s="1080"/>
      <c r="AC159" s="1080"/>
      <c r="AD159" s="1080"/>
      <c r="AE159" s="1080"/>
      <c r="AF159" s="1080"/>
      <c r="AG159" s="1080"/>
      <c r="AH159" s="1080"/>
      <c r="AI159" s="1080"/>
      <c r="AJ159" s="1080"/>
      <c r="AK159" s="1080"/>
      <c r="AL159" s="1080"/>
      <c r="AM159" s="1080"/>
      <c r="AN159" s="1080"/>
      <c r="AO159" s="1080"/>
      <c r="AP159" s="1080"/>
      <c r="AQ159" s="1080"/>
      <c r="AR159" s="1080"/>
      <c r="AS159" s="1080"/>
      <c r="AT159" s="1080"/>
      <c r="AU159" s="1080"/>
      <c r="AV159" s="1080"/>
      <c r="AW159" s="1080"/>
      <c r="AX159" s="1080"/>
      <c r="AY159" s="1080"/>
      <c r="AZ159" s="1080"/>
      <c r="BA159" s="1080"/>
      <c r="BB159" s="1080"/>
      <c r="BC159" s="1080"/>
      <c r="BD159" s="1080"/>
      <c r="BE159" s="1080"/>
      <c r="BF159" s="1080"/>
      <c r="BG159" s="1080"/>
      <c r="BH159" s="1080"/>
      <c r="BI159" s="1080"/>
      <c r="BJ159" s="1080"/>
      <c r="BK159" s="1080"/>
      <c r="BL159" s="1080"/>
    </row>
    <row r="160" spans="1:64" ht="17.25" hidden="1" customHeight="1">
      <c r="A160" s="1208"/>
      <c r="B160" s="1209">
        <f>SUM(C160:I160)</f>
        <v>449</v>
      </c>
      <c r="C160" s="1209">
        <f t="shared" ref="C160:I160" si="23">IF(C10="nur Mehrbedarf",C159,C149-C155-C158)</f>
        <v>449</v>
      </c>
      <c r="D160" s="1209">
        <f t="shared" si="23"/>
        <v>0</v>
      </c>
      <c r="E160" s="1209">
        <f t="shared" si="23"/>
        <v>0</v>
      </c>
      <c r="F160" s="1209">
        <f t="shared" si="23"/>
        <v>0</v>
      </c>
      <c r="G160" s="1209">
        <f t="shared" si="23"/>
        <v>0</v>
      </c>
      <c r="H160" s="1210">
        <f t="shared" si="23"/>
        <v>0</v>
      </c>
      <c r="I160" s="1211">
        <f t="shared" si="23"/>
        <v>0</v>
      </c>
      <c r="J160" s="805"/>
    </row>
    <row r="161" spans="1:10" ht="24" customHeight="1">
      <c r="A161" s="1212" t="s">
        <v>2173</v>
      </c>
      <c r="B161" s="1213">
        <f>SUM(C161:I161)</f>
        <v>449</v>
      </c>
      <c r="C161" s="1213">
        <f t="shared" ref="C161:I161" si="24">IF(C10="nein",0,IF(C160&lt;0,0,C160))</f>
        <v>449</v>
      </c>
      <c r="D161" s="1213">
        <f t="shared" si="24"/>
        <v>0</v>
      </c>
      <c r="E161" s="1213">
        <f t="shared" si="24"/>
        <v>0</v>
      </c>
      <c r="F161" s="1213">
        <f t="shared" si="24"/>
        <v>0</v>
      </c>
      <c r="G161" s="1214">
        <f t="shared" si="24"/>
        <v>0</v>
      </c>
      <c r="H161" s="1215">
        <f t="shared" si="24"/>
        <v>0</v>
      </c>
      <c r="I161" s="1216">
        <f t="shared" si="24"/>
        <v>0</v>
      </c>
      <c r="J161" s="805"/>
    </row>
    <row r="162" spans="1:10" ht="15" customHeight="1">
      <c r="A162" s="1047" t="s">
        <v>253</v>
      </c>
      <c r="J162" s="805"/>
    </row>
    <row r="163" spans="1:10" ht="14.25" hidden="1" customHeight="1">
      <c r="J163" s="805"/>
    </row>
    <row r="164" spans="1:10" ht="20.25">
      <c r="A164" s="1217"/>
      <c r="B164" s="1218"/>
      <c r="C164" s="1219"/>
      <c r="D164" s="1219"/>
      <c r="E164" s="1219"/>
      <c r="F164" s="1219"/>
      <c r="G164" s="1219"/>
      <c r="H164" s="1219"/>
      <c r="I164" s="1219"/>
      <c r="J164" s="805"/>
    </row>
    <row r="165" spans="1:10" ht="21" hidden="1" customHeight="1">
      <c r="A165" s="1220"/>
      <c r="B165" s="1221"/>
      <c r="C165" s="1221"/>
      <c r="D165" s="1221"/>
      <c r="E165" s="1221"/>
      <c r="F165" s="1221"/>
      <c r="G165" s="1221"/>
      <c r="H165" s="1221"/>
      <c r="I165" s="1221"/>
      <c r="J165" s="805"/>
    </row>
    <row r="166" spans="1:10" ht="21" hidden="1" customHeight="1">
      <c r="A166" s="1975" t="s">
        <v>2174</v>
      </c>
      <c r="B166" s="1975"/>
      <c r="C166" s="1975"/>
      <c r="D166" s="1975"/>
      <c r="E166" s="1975"/>
      <c r="F166" s="1975"/>
      <c r="G166" s="1975"/>
      <c r="H166" s="1975"/>
      <c r="I166" s="1975"/>
      <c r="J166" s="805"/>
    </row>
    <row r="167" spans="1:10" ht="18.75" hidden="1" customHeight="1">
      <c r="A167" s="839"/>
      <c r="B167" s="972" t="s">
        <v>246</v>
      </c>
      <c r="C167" s="972" t="str">
        <f>IF(Zusatzeingaben!C6&lt;&gt;0,Zusatzeingaben!C6,Zusatzeingaben!C4)</f>
        <v>Antragsteller</v>
      </c>
      <c r="D167" s="972" t="str">
        <f>IF(Zusatzeingaben!D6&lt;&gt;0,Zusatzeingaben!D6,Zusatzeingaben!D4)</f>
        <v>Partner(in)</v>
      </c>
      <c r="E167" s="972" t="str">
        <f>IF(Zusatzeingaben!E6&lt;&gt;0,Zusatzeingaben!E6,Zusatzeingaben!E4)</f>
        <v>Kind 1</v>
      </c>
      <c r="F167" s="972" t="str">
        <f>IF(Zusatzeingaben!F6&lt;&gt;0,Zusatzeingaben!F6,Zusatzeingaben!F4)</f>
        <v>Kind 2</v>
      </c>
      <c r="G167" s="972" t="str">
        <f>IF(Zusatzeingaben!G6&lt;&gt;0,Zusatzeingaben!G6,Zusatzeingaben!G4)</f>
        <v>Kind 3</v>
      </c>
      <c r="H167" s="972" t="str">
        <f>IF(Zusatzeingaben!H6&lt;&gt;0,Zusatzeingaben!H6,Zusatzeingaben!H4)</f>
        <v>Kind 4</v>
      </c>
      <c r="I167" s="973" t="str">
        <f>IF(Zusatzeingaben!I6&lt;&gt;0,Zusatzeingaben!I6,Zusatzeingaben!I4)</f>
        <v>Kind 5</v>
      </c>
      <c r="J167" s="805"/>
    </row>
    <row r="168" spans="1:10" ht="18.75" hidden="1" customHeight="1">
      <c r="A168" s="839"/>
      <c r="B168" s="1222"/>
      <c r="C168" s="1223">
        <f t="shared" ref="C168:I168" si="25">IF(C10="ja",C11+C13+C14+C15+C16+C17+C18+C19,0)</f>
        <v>449</v>
      </c>
      <c r="D168" s="1223">
        <f t="shared" si="25"/>
        <v>0</v>
      </c>
      <c r="E168" s="1223">
        <f t="shared" si="25"/>
        <v>0</v>
      </c>
      <c r="F168" s="1223">
        <f t="shared" si="25"/>
        <v>0</v>
      </c>
      <c r="G168" s="1223">
        <f t="shared" si="25"/>
        <v>0</v>
      </c>
      <c r="H168" s="1223">
        <f t="shared" si="25"/>
        <v>0</v>
      </c>
      <c r="I168" s="1224">
        <f t="shared" si="25"/>
        <v>0</v>
      </c>
      <c r="J168" s="805"/>
    </row>
    <row r="169" spans="1:10" ht="18.75" hidden="1" customHeight="1">
      <c r="A169" s="839" t="s">
        <v>2175</v>
      </c>
      <c r="B169" s="977">
        <f>SUM(C169:I169)</f>
        <v>449</v>
      </c>
      <c r="C169" s="1016">
        <f t="shared" ref="C169:I169" si="26">IF(C10="ja",C11+C13+C14+C15+C16+C17+C18+C19+C49,IF(C10="nur Mehrbedarf",C161,0))</f>
        <v>449</v>
      </c>
      <c r="D169" s="1016">
        <f t="shared" si="26"/>
        <v>0</v>
      </c>
      <c r="E169" s="1016">
        <f t="shared" si="26"/>
        <v>0</v>
      </c>
      <c r="F169" s="1016">
        <f t="shared" si="26"/>
        <v>0</v>
      </c>
      <c r="G169" s="1016">
        <f t="shared" si="26"/>
        <v>0</v>
      </c>
      <c r="H169" s="1016">
        <f t="shared" si="26"/>
        <v>0</v>
      </c>
      <c r="I169" s="1017">
        <f t="shared" si="26"/>
        <v>0</v>
      </c>
      <c r="J169" s="805"/>
    </row>
    <row r="170" spans="1:10" ht="18.75" hidden="1" customHeight="1">
      <c r="A170" s="1225" t="s">
        <v>2176</v>
      </c>
      <c r="B170" s="977">
        <f>SUM(C170:I170)</f>
        <v>0</v>
      </c>
      <c r="C170" s="1016">
        <f t="shared" ref="C170:I170" si="27">C155+C158</f>
        <v>0</v>
      </c>
      <c r="D170" s="1016">
        <f t="shared" si="27"/>
        <v>0</v>
      </c>
      <c r="E170" s="1016">
        <f t="shared" si="27"/>
        <v>0</v>
      </c>
      <c r="F170" s="1016">
        <f t="shared" si="27"/>
        <v>0</v>
      </c>
      <c r="G170" s="1016">
        <f t="shared" si="27"/>
        <v>0</v>
      </c>
      <c r="H170" s="1016">
        <f t="shared" si="27"/>
        <v>0</v>
      </c>
      <c r="I170" s="1017">
        <f t="shared" si="27"/>
        <v>0</v>
      </c>
      <c r="J170" s="805"/>
    </row>
    <row r="171" spans="1:10" ht="19.5" hidden="1" customHeight="1">
      <c r="A171" s="1226" t="s">
        <v>2177</v>
      </c>
      <c r="B171" s="1023">
        <f>SUM(C171:I171)</f>
        <v>0</v>
      </c>
      <c r="C171" s="1227">
        <f>IF(C169=0,0,C148)</f>
        <v>0</v>
      </c>
      <c r="D171" s="1227">
        <f>IF(D169=0,0,D148)</f>
        <v>0</v>
      </c>
      <c r="E171" s="1227">
        <f>IF(E169=0,0,E128+E148)</f>
        <v>0</v>
      </c>
      <c r="F171" s="1227">
        <f>IF(F169=0,0,F128+F148)</f>
        <v>0</v>
      </c>
      <c r="G171" s="1227">
        <f>IF(G169=0,0,G128+G148)</f>
        <v>0</v>
      </c>
      <c r="H171" s="1227">
        <f>IF(H169=0,0,H128+H148)</f>
        <v>0</v>
      </c>
      <c r="I171" s="1228">
        <f>IF(I169=0,0,I128+I148)</f>
        <v>0</v>
      </c>
      <c r="J171" s="805"/>
    </row>
    <row r="172" spans="1:10" ht="21" hidden="1" customHeight="1">
      <c r="A172" s="833"/>
      <c r="B172" s="637"/>
      <c r="C172" s="1229">
        <f t="shared" ref="C172:I172" si="28">IF(C168=0,0,C148)</f>
        <v>0</v>
      </c>
      <c r="D172" s="1229">
        <f t="shared" si="28"/>
        <v>0</v>
      </c>
      <c r="E172" s="1229">
        <f t="shared" si="28"/>
        <v>0</v>
      </c>
      <c r="F172" s="1229">
        <f t="shared" si="28"/>
        <v>0</v>
      </c>
      <c r="G172" s="1229">
        <f t="shared" si="28"/>
        <v>0</v>
      </c>
      <c r="H172" s="1229">
        <f t="shared" si="28"/>
        <v>0</v>
      </c>
      <c r="I172" s="1230">
        <f t="shared" si="28"/>
        <v>0</v>
      </c>
      <c r="J172" s="805"/>
    </row>
    <row r="173" spans="1:10" ht="21" hidden="1" customHeight="1">
      <c r="A173" s="833"/>
      <c r="B173" s="637"/>
      <c r="C173" s="637">
        <f t="shared" ref="C173:I173" si="29">C169-C170-C171</f>
        <v>449</v>
      </c>
      <c r="D173" s="637">
        <f t="shared" si="29"/>
        <v>0</v>
      </c>
      <c r="E173" s="637">
        <f t="shared" si="29"/>
        <v>0</v>
      </c>
      <c r="F173" s="637">
        <f t="shared" si="29"/>
        <v>0</v>
      </c>
      <c r="G173" s="637">
        <f t="shared" si="29"/>
        <v>0</v>
      </c>
      <c r="H173" s="637">
        <f t="shared" si="29"/>
        <v>0</v>
      </c>
      <c r="I173" s="638">
        <f t="shared" si="29"/>
        <v>0</v>
      </c>
      <c r="J173" s="805"/>
    </row>
    <row r="174" spans="1:10" ht="21" hidden="1" customHeight="1">
      <c r="A174" s="833"/>
      <c r="B174" s="637"/>
      <c r="C174" s="1231">
        <f>C168-C172</f>
        <v>449</v>
      </c>
      <c r="D174" s="1231">
        <f t="shared" ref="D174:I174" si="30">D168-D171</f>
        <v>0</v>
      </c>
      <c r="E174" s="1231">
        <f t="shared" si="30"/>
        <v>0</v>
      </c>
      <c r="F174" s="1231">
        <f t="shared" si="30"/>
        <v>0</v>
      </c>
      <c r="G174" s="1231">
        <f t="shared" si="30"/>
        <v>0</v>
      </c>
      <c r="H174" s="1231">
        <f t="shared" si="30"/>
        <v>0</v>
      </c>
      <c r="I174" s="1232">
        <f t="shared" si="30"/>
        <v>0</v>
      </c>
      <c r="J174" s="805"/>
    </row>
    <row r="175" spans="1:10" ht="21" hidden="1" customHeight="1">
      <c r="A175" s="1233" t="s">
        <v>2178</v>
      </c>
      <c r="B175" s="1234">
        <f>SUM(C175:I175)</f>
        <v>449</v>
      </c>
      <c r="C175" s="1234">
        <f t="shared" ref="C175:I176" si="31">IF(C173&lt;0,0,C173)</f>
        <v>449</v>
      </c>
      <c r="D175" s="1234">
        <f t="shared" si="31"/>
        <v>0</v>
      </c>
      <c r="E175" s="1234">
        <f t="shared" si="31"/>
        <v>0</v>
      </c>
      <c r="F175" s="1234">
        <f t="shared" si="31"/>
        <v>0</v>
      </c>
      <c r="G175" s="1234">
        <f t="shared" si="31"/>
        <v>0</v>
      </c>
      <c r="H175" s="1234">
        <f t="shared" si="31"/>
        <v>0</v>
      </c>
      <c r="I175" s="1235">
        <f t="shared" si="31"/>
        <v>0</v>
      </c>
      <c r="J175" s="805"/>
    </row>
    <row r="176" spans="1:10" ht="21" hidden="1" customHeight="1">
      <c r="A176" s="1236"/>
      <c r="B176" s="1221"/>
      <c r="C176" s="1237">
        <f t="shared" si="31"/>
        <v>449</v>
      </c>
      <c r="D176" s="1237">
        <f t="shared" si="31"/>
        <v>0</v>
      </c>
      <c r="E176" s="1237">
        <f t="shared" si="31"/>
        <v>0</v>
      </c>
      <c r="F176" s="1237">
        <f t="shared" si="31"/>
        <v>0</v>
      </c>
      <c r="G176" s="1237">
        <f t="shared" si="31"/>
        <v>0</v>
      </c>
      <c r="H176" s="1237">
        <f t="shared" si="31"/>
        <v>0</v>
      </c>
      <c r="I176" s="1238">
        <f t="shared" si="31"/>
        <v>0</v>
      </c>
      <c r="J176" s="805"/>
    </row>
    <row r="177" spans="1:10" ht="21" hidden="1" customHeight="1">
      <c r="A177" s="1239" t="s">
        <v>2179</v>
      </c>
      <c r="B177" s="1240"/>
      <c r="C177" s="1241">
        <f t="shared" ref="C177:I178" si="32">IF(C173&lt;0,C173,0)*-1</f>
        <v>0</v>
      </c>
      <c r="D177" s="1241">
        <f t="shared" si="32"/>
        <v>0</v>
      </c>
      <c r="E177" s="1241">
        <f t="shared" si="32"/>
        <v>0</v>
      </c>
      <c r="F177" s="1241">
        <f t="shared" si="32"/>
        <v>0</v>
      </c>
      <c r="G177" s="1241">
        <f t="shared" si="32"/>
        <v>0</v>
      </c>
      <c r="H177" s="1241">
        <f t="shared" si="32"/>
        <v>0</v>
      </c>
      <c r="I177" s="1242">
        <f t="shared" si="32"/>
        <v>0</v>
      </c>
      <c r="J177" s="805"/>
    </row>
    <row r="178" spans="1:10" ht="21" hidden="1" customHeight="1">
      <c r="A178" s="833"/>
      <c r="B178" s="1243"/>
      <c r="C178" s="1244">
        <f t="shared" si="32"/>
        <v>0</v>
      </c>
      <c r="D178" s="1244">
        <f t="shared" si="32"/>
        <v>0</v>
      </c>
      <c r="E178" s="1244">
        <f t="shared" si="32"/>
        <v>0</v>
      </c>
      <c r="F178" s="1244">
        <f t="shared" si="32"/>
        <v>0</v>
      </c>
      <c r="G178" s="1244">
        <f t="shared" si="32"/>
        <v>0</v>
      </c>
      <c r="H178" s="1244">
        <f t="shared" si="32"/>
        <v>0</v>
      </c>
      <c r="I178" s="1245">
        <f t="shared" si="32"/>
        <v>0</v>
      </c>
      <c r="J178" s="805"/>
    </row>
    <row r="179" spans="1:10" ht="21" hidden="1" customHeight="1">
      <c r="A179" s="1246" t="s">
        <v>2180</v>
      </c>
      <c r="B179" s="1046">
        <f>SUM(C179:I179)</f>
        <v>0</v>
      </c>
      <c r="C179" s="1008">
        <f t="shared" ref="C179:I179" si="33">IF(C10="ja",C47,0)</f>
        <v>0</v>
      </c>
      <c r="D179" s="1008">
        <f t="shared" si="33"/>
        <v>0</v>
      </c>
      <c r="E179" s="1008">
        <f t="shared" si="33"/>
        <v>0</v>
      </c>
      <c r="F179" s="1008">
        <f t="shared" si="33"/>
        <v>0</v>
      </c>
      <c r="G179" s="1008">
        <f t="shared" si="33"/>
        <v>0</v>
      </c>
      <c r="H179" s="1008">
        <f t="shared" si="33"/>
        <v>0</v>
      </c>
      <c r="I179" s="1009">
        <f t="shared" si="33"/>
        <v>0</v>
      </c>
      <c r="J179" s="805"/>
    </row>
    <row r="180" spans="1:10" ht="21" hidden="1" customHeight="1">
      <c r="A180" s="1226" t="s">
        <v>2181</v>
      </c>
      <c r="B180" s="1247">
        <f>SUM(C180:I180)</f>
        <v>0</v>
      </c>
      <c r="C180" s="1227">
        <f t="shared" ref="C180:I180" si="34">IF(C179&lt;C177,C179,C177)</f>
        <v>0</v>
      </c>
      <c r="D180" s="1227">
        <f t="shared" si="34"/>
        <v>0</v>
      </c>
      <c r="E180" s="1227">
        <f t="shared" si="34"/>
        <v>0</v>
      </c>
      <c r="F180" s="1227">
        <f t="shared" si="34"/>
        <v>0</v>
      </c>
      <c r="G180" s="1227">
        <f t="shared" si="34"/>
        <v>0</v>
      </c>
      <c r="H180" s="1227">
        <f t="shared" si="34"/>
        <v>0</v>
      </c>
      <c r="I180" s="1228">
        <f t="shared" si="34"/>
        <v>0</v>
      </c>
      <c r="J180" s="805"/>
    </row>
    <row r="181" spans="1:10" ht="21" hidden="1" customHeight="1">
      <c r="A181" s="1248"/>
      <c r="B181" s="1249"/>
      <c r="C181" s="1250">
        <f t="shared" ref="C181:I181" si="35">IF(C179&lt;C178,C179,C178)</f>
        <v>0</v>
      </c>
      <c r="D181" s="1250">
        <f t="shared" si="35"/>
        <v>0</v>
      </c>
      <c r="E181" s="1250">
        <f t="shared" si="35"/>
        <v>0</v>
      </c>
      <c r="F181" s="1250">
        <f t="shared" si="35"/>
        <v>0</v>
      </c>
      <c r="G181" s="1250">
        <f t="shared" si="35"/>
        <v>0</v>
      </c>
      <c r="H181" s="1250">
        <f t="shared" si="35"/>
        <v>0</v>
      </c>
      <c r="I181" s="1251">
        <f t="shared" si="35"/>
        <v>0</v>
      </c>
      <c r="J181" s="805"/>
    </row>
    <row r="182" spans="1:10" ht="21" hidden="1" customHeight="1">
      <c r="A182" s="1248"/>
      <c r="B182" s="1249"/>
      <c r="C182" s="1252">
        <f t="shared" ref="C182:I182" si="36">C179-C181</f>
        <v>0</v>
      </c>
      <c r="D182" s="1252">
        <f t="shared" si="36"/>
        <v>0</v>
      </c>
      <c r="E182" s="1252">
        <f t="shared" si="36"/>
        <v>0</v>
      </c>
      <c r="F182" s="1252">
        <f t="shared" si="36"/>
        <v>0</v>
      </c>
      <c r="G182" s="1252">
        <f t="shared" si="36"/>
        <v>0</v>
      </c>
      <c r="H182" s="1252">
        <f t="shared" si="36"/>
        <v>0</v>
      </c>
      <c r="I182" s="1253">
        <f t="shared" si="36"/>
        <v>0</v>
      </c>
      <c r="J182" s="805"/>
    </row>
    <row r="183" spans="1:10" ht="21" hidden="1" customHeight="1">
      <c r="A183" s="1254" t="s">
        <v>2182</v>
      </c>
      <c r="B183" s="1255">
        <f>SUM(C183:I183)</f>
        <v>0</v>
      </c>
      <c r="C183" s="1256">
        <f t="shared" ref="C183:I183" si="37">IF(C180&lt;0,C179,C179-C180)</f>
        <v>0</v>
      </c>
      <c r="D183" s="1256">
        <f t="shared" si="37"/>
        <v>0</v>
      </c>
      <c r="E183" s="1256">
        <f t="shared" si="37"/>
        <v>0</v>
      </c>
      <c r="F183" s="1256">
        <f t="shared" si="37"/>
        <v>0</v>
      </c>
      <c r="G183" s="1256">
        <f t="shared" si="37"/>
        <v>0</v>
      </c>
      <c r="H183" s="1256">
        <f t="shared" si="37"/>
        <v>0</v>
      </c>
      <c r="I183" s="1257">
        <f t="shared" si="37"/>
        <v>0</v>
      </c>
      <c r="J183" s="805"/>
    </row>
    <row r="184" spans="1:10" ht="18" hidden="1" customHeight="1">
      <c r="A184" s="1220"/>
      <c r="B184" s="1221"/>
      <c r="C184" s="1221"/>
      <c r="D184" s="1221"/>
      <c r="E184" s="1221"/>
      <c r="F184" s="1221"/>
      <c r="G184" s="1221"/>
      <c r="H184" s="1221"/>
      <c r="I184" s="1221"/>
    </row>
    <row r="185" spans="1:10" hidden="1"/>
    <row r="186" spans="1:10" ht="18.75" customHeight="1"/>
    <row r="187" spans="1:10">
      <c r="A187" s="1258" t="s">
        <v>2183</v>
      </c>
      <c r="B187" s="1259"/>
      <c r="C187" s="981"/>
      <c r="D187" s="981"/>
      <c r="F187" s="1260"/>
      <c r="G187" s="818"/>
      <c r="H187" s="818"/>
      <c r="I187" s="818"/>
    </row>
    <row r="188" spans="1:10">
      <c r="A188" s="981" t="s">
        <v>2184</v>
      </c>
      <c r="B188" s="1261">
        <f>IF(AND(C$58=0,C$54&lt;=100),0,IF(AND(C$58=0,C$54&lt;=1000),C$54-100,IF(AND(C$58=0,C$54&gt;1000),1000-100,IF(AND(C$58&gt;0,C$54+C$58&lt;=100),0,IF(AND(C$58&gt;0,C$58+C$54&lt;=1000),C$58+C$54-100,IF(AND(C$58&gt;0,C$58+C$54&gt;1000),1000-100))))))</f>
        <v>0</v>
      </c>
      <c r="C188" s="981" t="s">
        <v>2185</v>
      </c>
      <c r="D188" s="637">
        <f>B188*20/100</f>
        <v>0</v>
      </c>
      <c r="F188" s="818"/>
      <c r="G188" s="818"/>
      <c r="H188" s="818"/>
      <c r="I188" s="952"/>
    </row>
    <row r="189" spans="1:10">
      <c r="A189" s="981" t="s">
        <v>2186</v>
      </c>
      <c r="B189" s="637">
        <f>IF(C$54+C$58&lt;1000.01,0,IF(AND(C$54+C$58&gt;1000,C$54+C$58&lt;=1200),C$54+C$58-1000,IF(AND(C$54+C$58&gt;1200,C8="ja",C$54+C$58&lt;=1500),C$54+C$58-1000,IF(AND(C$54+C$58&gt;1200,C8="nein",C$54+C$58&lt;=1500),1200-1000,IF(AND(C$54+C$58&gt;=1500,C8="ja"),1500-1000,IF(AND(C$54+C$58&gt;1500,C8="nein"),1200-1000))))))</f>
        <v>0</v>
      </c>
      <c r="C189" s="981" t="s">
        <v>2187</v>
      </c>
      <c r="D189" s="637">
        <f>B189*10/100</f>
        <v>0</v>
      </c>
      <c r="F189" s="818"/>
      <c r="G189" s="818"/>
      <c r="H189" s="818"/>
      <c r="I189" s="952"/>
    </row>
    <row r="190" spans="1:10">
      <c r="A190" s="1262" t="s">
        <v>141</v>
      </c>
      <c r="B190" s="981"/>
      <c r="C190" s="981"/>
      <c r="D190" s="1263">
        <f>SUM(D188:D189)</f>
        <v>0</v>
      </c>
      <c r="F190" s="818"/>
      <c r="G190" s="818"/>
      <c r="H190" s="818"/>
      <c r="I190" s="952"/>
    </row>
    <row r="191" spans="1:10">
      <c r="A191" s="981"/>
      <c r="B191" s="981"/>
      <c r="C191" s="981"/>
      <c r="D191" s="981"/>
      <c r="F191" s="818"/>
      <c r="G191" s="818"/>
      <c r="H191" s="818"/>
      <c r="I191" s="952"/>
    </row>
    <row r="192" spans="1:10">
      <c r="A192" s="1258" t="s">
        <v>2188</v>
      </c>
      <c r="B192" s="1259"/>
      <c r="C192" s="981"/>
      <c r="D192" s="981"/>
      <c r="F192" s="818"/>
      <c r="G192" s="818"/>
      <c r="H192" s="818"/>
      <c r="I192" s="818"/>
    </row>
    <row r="193" spans="1:9">
      <c r="A193" s="981" t="s">
        <v>2184</v>
      </c>
      <c r="B193" s="637">
        <f>IF(AND(D$58=0,D$54&lt;=100),0,IF(AND(D$58=0,D$54&lt;=1000),D$54-100,IF(AND(D$58=0,D$54&gt;1000),1000-100,IF(AND(D$58&gt;0,D$54+D$58&lt;=100),0,IF(AND(D$58&gt;0,D$58+D$54&lt;=1000),D$58+D$54-100,IF(AND(D$58&gt;0,D$58+D$54&gt;1000),1000-100))))))</f>
        <v>0</v>
      </c>
      <c r="C193" s="981" t="s">
        <v>2185</v>
      </c>
      <c r="D193" s="637">
        <f>B193*20/100</f>
        <v>0</v>
      </c>
      <c r="F193" s="818"/>
      <c r="G193" s="818"/>
      <c r="H193" s="818"/>
      <c r="I193" s="952"/>
    </row>
    <row r="194" spans="1:9">
      <c r="A194" s="981" t="s">
        <v>2186</v>
      </c>
      <c r="B194" s="637">
        <f>IF(D$54+D$58&lt;1000.01,0,IF(AND(D$54+D$58&gt;1000,D$54+D$58&lt;=1200),D$54+D$58-1000,IF(AND(D$54+D$58&gt;1200,D$8="ja",D$54+D$58&lt;=1500),D$54+D$58-1000,IF(AND(D$54+D$58&gt;1200,D$8="nein",D$54+D$58&lt;=1500),1200-1000,IF(AND(D$54+D$58&gt;=1500,D$8="ja"),1500-1000,IF(AND(D$54+D$58&gt;1500,D$8="nein"),1200-1000))))))</f>
        <v>0</v>
      </c>
      <c r="C194" s="981" t="s">
        <v>2187</v>
      </c>
      <c r="D194" s="637">
        <f>B194*10/100</f>
        <v>0</v>
      </c>
      <c r="F194" s="818"/>
      <c r="G194" s="818"/>
      <c r="H194" s="818"/>
      <c r="I194" s="952"/>
    </row>
    <row r="195" spans="1:9">
      <c r="A195" s="1262" t="s">
        <v>141</v>
      </c>
      <c r="B195" s="981"/>
      <c r="C195" s="981"/>
      <c r="D195" s="1263">
        <f>SUM(D193:D194)</f>
        <v>0</v>
      </c>
      <c r="F195" s="818"/>
      <c r="G195" s="818"/>
      <c r="H195" s="818"/>
      <c r="I195" s="952"/>
    </row>
    <row r="196" spans="1:9">
      <c r="A196" s="981"/>
      <c r="B196" s="981"/>
      <c r="C196" s="981"/>
      <c r="D196" s="981"/>
      <c r="F196" s="818"/>
      <c r="G196" s="818"/>
      <c r="H196" s="818"/>
      <c r="I196" s="952"/>
    </row>
    <row r="197" spans="1:9">
      <c r="A197" s="1258" t="s">
        <v>2189</v>
      </c>
      <c r="B197" s="1259"/>
      <c r="C197" s="981"/>
      <c r="D197" s="981"/>
      <c r="F197" s="818"/>
      <c r="G197" s="818"/>
      <c r="H197" s="818"/>
      <c r="I197" s="952"/>
    </row>
    <row r="198" spans="1:9">
      <c r="A198" s="981" t="s">
        <v>2184</v>
      </c>
      <c r="B198" s="637">
        <f>IF(AND(E$58=0,E$54&lt;=100),0,IF(AND(E$58=0,E$54&lt;=1000),E$54-100,IF(AND(E$58=0,E$54&gt;1000),1000-100,IF(AND(E$58&gt;0,E$54+E$58&lt;=100),0,IF(AND(E$58&gt;0,E$58+E$54&lt;=1000),E$58+E$54-100,IF(AND(E$58&gt;0,E$58+E$54&gt;1000),1000-100))))))</f>
        <v>0</v>
      </c>
      <c r="C198" s="981" t="s">
        <v>2185</v>
      </c>
      <c r="D198" s="637">
        <f>B198*20/100</f>
        <v>0</v>
      </c>
    </row>
    <row r="199" spans="1:9">
      <c r="A199" s="981" t="s">
        <v>2186</v>
      </c>
      <c r="B199" s="637">
        <f>IF(E$54+E$58&lt;1000.01,0,IF(AND(E$54+E$58&gt;1000,E$54+E$58&lt;=1200),E$54+E$58-1000,IF(E$54+E$58&gt;1200,1200-1000,)))</f>
        <v>0</v>
      </c>
      <c r="C199" s="981" t="s">
        <v>2187</v>
      </c>
      <c r="D199" s="637">
        <f>B199*10/100</f>
        <v>0</v>
      </c>
    </row>
    <row r="200" spans="1:9">
      <c r="A200" s="1262" t="s">
        <v>141</v>
      </c>
      <c r="B200" s="981"/>
      <c r="C200" s="981"/>
      <c r="D200" s="1263">
        <f>SUM(D198:D199)</f>
        <v>0</v>
      </c>
    </row>
    <row r="201" spans="1:9">
      <c r="A201" s="981"/>
      <c r="B201" s="981"/>
      <c r="C201" s="981"/>
      <c r="D201" s="981"/>
    </row>
    <row r="202" spans="1:9">
      <c r="A202" s="1258" t="s">
        <v>2190</v>
      </c>
      <c r="B202" s="1259"/>
      <c r="C202" s="981"/>
      <c r="D202" s="981"/>
    </row>
    <row r="203" spans="1:9">
      <c r="A203" s="981" t="s">
        <v>2184</v>
      </c>
      <c r="B203" s="637">
        <f>IF(AND(F$58=0,F$54&lt;=100),0,IF(AND(F$58=0,F$54&lt;=1000),F$54-100,IF(AND(F$58=0,F$54&gt;1000),1000-100,IF(AND(F$58&gt;0,F$54+F$58&lt;=100),0,IF(AND(F$58&gt;0,F$58+F$54&lt;=1000),F$58+F$54-100,IF(AND(F$58&gt;0,F$58+F$54&gt;1000),1000-100))))))</f>
        <v>0</v>
      </c>
      <c r="C203" s="981" t="s">
        <v>2185</v>
      </c>
      <c r="D203" s="637">
        <f>B203*20/100</f>
        <v>0</v>
      </c>
    </row>
    <row r="204" spans="1:9">
      <c r="A204" s="981" t="s">
        <v>2186</v>
      </c>
      <c r="B204" s="637">
        <f>IF(F$54+F$58&lt;1000.01,0,IF(AND(F$54+F$58&gt;1000,F$54+F$58&lt;=1200),F$54+F$58-1000,IF(F$54+F$58&gt;1200,1200-1000,)))</f>
        <v>0</v>
      </c>
      <c r="C204" s="981" t="s">
        <v>2187</v>
      </c>
      <c r="D204" s="637">
        <f>B204*10/100</f>
        <v>0</v>
      </c>
    </row>
    <row r="205" spans="1:9">
      <c r="A205" s="1262" t="s">
        <v>141</v>
      </c>
      <c r="B205" s="981"/>
      <c r="C205" s="981"/>
      <c r="D205" s="1263">
        <f>SUM(D203:D204)</f>
        <v>0</v>
      </c>
    </row>
    <row r="206" spans="1:9">
      <c r="A206" s="981"/>
      <c r="B206" s="981"/>
      <c r="C206" s="981"/>
      <c r="D206" s="981"/>
    </row>
    <row r="207" spans="1:9">
      <c r="A207" s="1258" t="s">
        <v>2191</v>
      </c>
      <c r="B207" s="1259"/>
      <c r="C207" s="981"/>
      <c r="D207" s="981"/>
    </row>
    <row r="208" spans="1:9">
      <c r="A208" s="981" t="s">
        <v>2184</v>
      </c>
      <c r="B208" s="637">
        <f>IF(AND(G$58=0,G$54&lt;=100),0,IF(AND(G$58=0,G$54&lt;=1000),G$54-100,IF(AND(G$58=0,G$54&gt;1000),1000-100,IF(AND(G$58&gt;0,G$54+G$58&lt;=100),0,IF(AND(G$58&gt;0,G$58+G$54&lt;=1000),G$58+G$54-100,IF(AND(G$58&gt;0,G$58+G$54&gt;1000),1000-100))))))</f>
        <v>0</v>
      </c>
      <c r="C208" s="981" t="s">
        <v>2185</v>
      </c>
      <c r="D208" s="637">
        <f>B208*20/100</f>
        <v>0</v>
      </c>
    </row>
    <row r="209" spans="1:4">
      <c r="A209" s="981" t="s">
        <v>2186</v>
      </c>
      <c r="B209" s="637">
        <f>IF(G$54+G$58&lt;1000.01,0,IF(AND(G$54+G$58&gt;1000,G$54+G$58&lt;=1200),G$54+G$58-1000,IF(G$54+G$58&gt;1200,1200-1000,)))</f>
        <v>0</v>
      </c>
      <c r="C209" s="981" t="s">
        <v>2187</v>
      </c>
      <c r="D209" s="637">
        <f>B209*10/100</f>
        <v>0</v>
      </c>
    </row>
    <row r="210" spans="1:4">
      <c r="A210" s="1262" t="s">
        <v>141</v>
      </c>
      <c r="B210" s="981"/>
      <c r="C210" s="981"/>
      <c r="D210" s="1263">
        <f>SUM(D208:D209)</f>
        <v>0</v>
      </c>
    </row>
    <row r="211" spans="1:4">
      <c r="A211" s="981"/>
      <c r="B211" s="981"/>
      <c r="C211" s="981"/>
      <c r="D211" s="981"/>
    </row>
    <row r="212" spans="1:4">
      <c r="A212" s="1258" t="s">
        <v>2192</v>
      </c>
      <c r="B212" s="1259"/>
      <c r="C212" s="981"/>
      <c r="D212" s="981"/>
    </row>
    <row r="213" spans="1:4">
      <c r="A213" s="981" t="s">
        <v>2184</v>
      </c>
      <c r="B213" s="637">
        <f>IF(AND(H$58=0,H$54&lt;=100),0,IF(AND(H$58=0,H$54&lt;=1000),H$54-100,IF(AND(H$58=0,H$54&gt;1000),1000-100,IF(AND(H$58&gt;0,H$54+H$58&lt;=100),0,IF(AND(H$58&gt;0,H$58+H$54&lt;=1000),H$58+H$54-100,IF(AND(H$58&gt;0,H$58+H$54&gt;1000),1000-100))))))</f>
        <v>0</v>
      </c>
      <c r="C213" s="981" t="s">
        <v>2185</v>
      </c>
      <c r="D213" s="637">
        <f>B213*20/100</f>
        <v>0</v>
      </c>
    </row>
    <row r="214" spans="1:4">
      <c r="A214" s="981" t="s">
        <v>2186</v>
      </c>
      <c r="B214" s="637">
        <f>IF(H$54+H$58&lt;1000.01,0,IF(AND(H$54+H$58&gt;1000,H$54+H$58&lt;=1200),H$54+H$58-1000,IF(H$54+H$58&gt;1200,1200-1000,)))</f>
        <v>0</v>
      </c>
      <c r="C214" s="981" t="s">
        <v>2187</v>
      </c>
      <c r="D214" s="637">
        <f>B214*10/100</f>
        <v>0</v>
      </c>
    </row>
    <row r="215" spans="1:4">
      <c r="A215" s="1262" t="s">
        <v>141</v>
      </c>
      <c r="B215" s="981"/>
      <c r="C215" s="981"/>
      <c r="D215" s="1263">
        <f>SUM(D213:D214)</f>
        <v>0</v>
      </c>
    </row>
    <row r="216" spans="1:4">
      <c r="A216" s="981"/>
      <c r="B216" s="981"/>
      <c r="C216" s="981"/>
      <c r="D216" s="981"/>
    </row>
    <row r="217" spans="1:4">
      <c r="A217" s="1258" t="s">
        <v>2193</v>
      </c>
      <c r="B217" s="1259"/>
      <c r="C217" s="981"/>
      <c r="D217" s="981"/>
    </row>
    <row r="218" spans="1:4">
      <c r="A218" s="981" t="s">
        <v>2184</v>
      </c>
      <c r="B218" s="637">
        <f>IF(AND(I$58=0,I$54&lt;=100),0,IF(AND(I$58=0,I$54&lt;=1000),I$54-100,IF(AND(I$58=0,I$54&gt;1000),1000-100,IF(AND(I$58&gt;0,I$54+I$58&lt;=100),0,IF(AND(I$58&gt;0,I$58+I$54&lt;=1000),I$58+I$54-100,IF(AND(I$58&gt;0,I$58+I$54&gt;1000),1000-100))))))</f>
        <v>0</v>
      </c>
      <c r="C218" s="981" t="s">
        <v>2185</v>
      </c>
      <c r="D218" s="637">
        <f>B218*20/100</f>
        <v>0</v>
      </c>
    </row>
    <row r="219" spans="1:4">
      <c r="A219" s="981" t="s">
        <v>2186</v>
      </c>
      <c r="B219" s="637">
        <f>IF(I$54+I$58&lt;1000.01,0,IF(AND(I$54+I$58&gt;1000,I$54+I$58&lt;=1200),I$54+I$58-1000,IF(I$54+I$58&gt;1200,1200-1000,)))</f>
        <v>0</v>
      </c>
      <c r="C219" s="981" t="s">
        <v>2187</v>
      </c>
      <c r="D219" s="637">
        <f>B219*10/100</f>
        <v>0</v>
      </c>
    </row>
    <row r="220" spans="1:4">
      <c r="A220" s="1262" t="s">
        <v>141</v>
      </c>
      <c r="B220" s="981"/>
      <c r="C220" s="981"/>
      <c r="D220" s="1263">
        <f>SUM(D218:D219)</f>
        <v>0</v>
      </c>
    </row>
    <row r="221" spans="1:4">
      <c r="A221" s="818"/>
      <c r="B221" s="1264"/>
      <c r="C221" s="818"/>
      <c r="D221" s="818"/>
    </row>
    <row r="222" spans="1:4">
      <c r="A222" s="818"/>
      <c r="B222" s="952"/>
      <c r="C222" s="818"/>
      <c r="D222" s="952"/>
    </row>
    <row r="223" spans="1:4">
      <c r="A223" s="818"/>
      <c r="B223" s="952"/>
      <c r="C223" s="818"/>
      <c r="D223" s="952"/>
    </row>
    <row r="224" spans="1:4">
      <c r="A224" s="1265"/>
      <c r="B224" s="818"/>
      <c r="C224" s="818"/>
      <c r="D224" s="952"/>
    </row>
    <row r="225" spans="1:9">
      <c r="A225" s="818"/>
      <c r="B225" s="818"/>
      <c r="C225" s="818"/>
      <c r="D225" s="818">
        <f>SUM(E225:I225)</f>
        <v>0</v>
      </c>
      <c r="E225" s="801">
        <f>IF(AND($C$14&gt;0,E9&gt;11,E9&lt;18,Kinderzuschlag!$B$170&gt;=600),Zusatzeingaben!$E$287,0)</f>
        <v>0</v>
      </c>
      <c r="F225" s="801">
        <f>IF(AND($C$14&gt;0,F9&gt;11,F9&lt;18,Kinderzuschlag!$B$170&gt;=600),Zusatzeingaben!$E$287,0)</f>
        <v>0</v>
      </c>
      <c r="G225" s="801">
        <f>IF(AND($C$14&gt;0,G9&gt;11,G9&lt;18,Kinderzuschlag!$B$170&gt;=600),Zusatzeingaben!$E$287,0)</f>
        <v>0</v>
      </c>
      <c r="H225" s="801">
        <f>IF(AND($C$14&gt;0,H9&gt;11,H9&lt;18,Kinderzuschlag!$B$170&gt;=600),Zusatzeingaben!$E$287,0)</f>
        <v>0</v>
      </c>
      <c r="I225" s="801">
        <f>IF(AND($C$14&gt;0,I9&gt;11,I9&lt;18,Kinderzuschlag!$B$170&gt;=600),Zusatzeingaben!$E$287,0)</f>
        <v>0</v>
      </c>
    </row>
    <row r="226" spans="1:9">
      <c r="A226" s="1266"/>
      <c r="B226" s="1260"/>
      <c r="C226" s="818"/>
      <c r="D226" s="818">
        <f>SUM(E226:I226)</f>
        <v>0</v>
      </c>
      <c r="E226" s="801">
        <f>IF(AND($C$14&gt;0,E9&gt;11,E9&lt;18,E131&gt;0,E131&lt;=Zusatzeingaben!$E$287),Zusatzeingaben!$E$287,0)</f>
        <v>0</v>
      </c>
    </row>
    <row r="227" spans="1:9">
      <c r="A227" s="818"/>
      <c r="B227" s="952"/>
      <c r="C227" s="818"/>
      <c r="D227" s="952"/>
    </row>
    <row r="228" spans="1:9">
      <c r="A228" s="818"/>
      <c r="B228" s="952"/>
      <c r="C228" s="818"/>
      <c r="D228" s="952"/>
    </row>
    <row r="229" spans="1:9">
      <c r="A229" s="1265"/>
      <c r="B229" s="818"/>
      <c r="C229" s="818"/>
      <c r="D229" s="952"/>
    </row>
    <row r="230" spans="1:9">
      <c r="A230" s="818"/>
      <c r="B230" s="818"/>
      <c r="C230" s="818"/>
      <c r="D230" s="818"/>
    </row>
    <row r="231" spans="1:9">
      <c r="A231" s="1266"/>
      <c r="B231" s="1260"/>
      <c r="C231" s="818"/>
      <c r="D231" s="818"/>
    </row>
    <row r="232" spans="1:9">
      <c r="A232" s="818"/>
      <c r="B232" s="952"/>
      <c r="C232" s="818"/>
      <c r="D232" s="952"/>
    </row>
    <row r="233" spans="1:9">
      <c r="A233" s="818"/>
      <c r="B233" s="952"/>
      <c r="C233" s="818"/>
      <c r="D233" s="952"/>
    </row>
    <row r="234" spans="1:9">
      <c r="A234" s="1265"/>
      <c r="B234" s="818"/>
      <c r="C234" s="818"/>
      <c r="D234" s="952"/>
    </row>
    <row r="235" spans="1:9">
      <c r="A235" s="818"/>
      <c r="B235" s="818"/>
      <c r="C235" s="818"/>
      <c r="D235" s="818"/>
    </row>
    <row r="236" spans="1:9">
      <c r="A236" s="1266"/>
      <c r="B236" s="1260"/>
      <c r="C236" s="818"/>
      <c r="D236" s="818"/>
    </row>
    <row r="237" spans="1:9">
      <c r="A237" s="818"/>
      <c r="B237" s="952"/>
      <c r="C237" s="818"/>
      <c r="D237" s="952"/>
    </row>
    <row r="238" spans="1:9">
      <c r="A238" s="818"/>
      <c r="B238" s="952"/>
      <c r="C238" s="818"/>
      <c r="D238" s="952"/>
    </row>
    <row r="239" spans="1:9">
      <c r="A239" s="1265"/>
      <c r="B239" s="818"/>
      <c r="C239" s="818"/>
      <c r="D239" s="952"/>
    </row>
  </sheetData>
  <sheetProtection sheet="1" objects="1" scenarios="1"/>
  <mergeCells count="22">
    <mergeCell ref="A2:I2"/>
    <mergeCell ref="K2:S2"/>
    <mergeCell ref="U2:AC2"/>
    <mergeCell ref="AE2:AK2"/>
    <mergeCell ref="B3:C3"/>
    <mergeCell ref="L3:M3"/>
    <mergeCell ref="AF4:AG4"/>
    <mergeCell ref="A5:I5"/>
    <mergeCell ref="K9:S9"/>
    <mergeCell ref="M14:N14"/>
    <mergeCell ref="AG21:AK21"/>
    <mergeCell ref="K22:S22"/>
    <mergeCell ref="AE29:AK29"/>
    <mergeCell ref="X31:AC31"/>
    <mergeCell ref="X34:AC34"/>
    <mergeCell ref="X37:AC37"/>
    <mergeCell ref="A166:I166"/>
    <mergeCell ref="AG46:AK46"/>
    <mergeCell ref="A52:I52"/>
    <mergeCell ref="K54:S54"/>
    <mergeCell ref="L57:S57"/>
    <mergeCell ref="A125:I125"/>
  </mergeCells>
  <conditionalFormatting sqref="C132 D132:D133 C137:C146 E131:I133 D127:I128 A49 C7:I7 C13:I13 B3:C3 C49:I49 C14:C19 C179:I180 C177:I177 D15:I19 C10:I11 C112:I112 C114:I115 C95:I99 C101:I110 C74:I81 C54:I71 C117:I120 D138:I138 C170:I171 C83:I83 C85:I88 C148:I148 D137 D139:D146 C90:I93 C46:I46 C21:I22 I23 C24:I31 C33:I44">
    <cfRule type="cellIs" dxfId="199" priority="2" operator="equal">
      <formula>0</formula>
    </cfRule>
  </conditionalFormatting>
  <conditionalFormatting sqref="B21:B47 B145:B148 E149:I151 C47:I47 B50:C50 B13:B19 B49 B177:B182 B170:B172 B54:B120">
    <cfRule type="cellIs" dxfId="198" priority="3" operator="equal">
      <formula>0</formula>
    </cfRule>
  </conditionalFormatting>
  <conditionalFormatting sqref="B165:I165 B175:I175 B183:I184">
    <cfRule type="cellIs" dxfId="197" priority="4" operator="equal">
      <formula>0</formula>
    </cfRule>
  </conditionalFormatting>
  <conditionalFormatting sqref="A150">
    <cfRule type="cellIs" dxfId="196" priority="5" operator="equal">
      <formula>"Mehrbedarf nach § 27 (2) SGB II"</formula>
    </cfRule>
  </conditionalFormatting>
  <conditionalFormatting sqref="C150:D151">
    <cfRule type="cellIs" dxfId="195" priority="6" operator="notEqual">
      <formula>0</formula>
    </cfRule>
  </conditionalFormatting>
  <conditionalFormatting sqref="C161">
    <cfRule type="expression" dxfId="194" priority="7">
      <formula>$C$150&gt;0</formula>
    </cfRule>
  </conditionalFormatting>
  <conditionalFormatting sqref="A151">
    <cfRule type="cellIs" dxfId="193" priority="8" operator="equal">
      <formula>"./. Überschuss"</formula>
    </cfRule>
  </conditionalFormatting>
  <conditionalFormatting sqref="D161">
    <cfRule type="expression" dxfId="192" priority="9">
      <formula>$D$150&gt;0</formula>
    </cfRule>
  </conditionalFormatting>
  <conditionalFormatting sqref="C116:D116">
    <cfRule type="cellIs" dxfId="191" priority="10" operator="equal">
      <formula>0</formula>
    </cfRule>
  </conditionalFormatting>
  <conditionalFormatting sqref="E116:I116">
    <cfRule type="cellIs" dxfId="190" priority="11" operator="equal">
      <formula>0</formula>
    </cfRule>
  </conditionalFormatting>
  <conditionalFormatting sqref="C82:I82">
    <cfRule type="cellIs" dxfId="189" priority="12" operator="equal">
      <formula>0</formula>
    </cfRule>
  </conditionalFormatting>
  <conditionalFormatting sqref="C111:I111">
    <cfRule type="cellIs" dxfId="188" priority="13" operator="equal">
      <formula>0</formula>
    </cfRule>
  </conditionalFormatting>
  <conditionalFormatting sqref="C113:I113">
    <cfRule type="cellIs" dxfId="187" priority="14" operator="equal">
      <formula>0</formula>
    </cfRule>
  </conditionalFormatting>
  <conditionalFormatting sqref="C154:I157">
    <cfRule type="cellIs" dxfId="186" priority="15" operator="equal">
      <formula>0</formula>
    </cfRule>
  </conditionalFormatting>
  <conditionalFormatting sqref="B153:B158">
    <cfRule type="cellIs" dxfId="185" priority="16" operator="equal">
      <formula>0</formula>
    </cfRule>
  </conditionalFormatting>
  <conditionalFormatting sqref="A120">
    <cfRule type="expression" dxfId="184" priority="17">
      <formula>B120&gt;0</formula>
    </cfRule>
  </conditionalFormatting>
  <conditionalFormatting sqref="C147">
    <cfRule type="cellIs" dxfId="183" priority="18" operator="equal">
      <formula>0</formula>
    </cfRule>
  </conditionalFormatting>
  <conditionalFormatting sqref="D147">
    <cfRule type="cellIs" dxfId="182" priority="19" operator="equal">
      <formula>0</formula>
    </cfRule>
  </conditionalFormatting>
  <conditionalFormatting sqref="E147:I147">
    <cfRule type="cellIs" dxfId="181" priority="20" operator="equal">
      <formula>0</formula>
    </cfRule>
  </conditionalFormatting>
  <conditionalFormatting sqref="L12">
    <cfRule type="expression" dxfId="180" priority="21">
      <formula>L11="miete"</formula>
    </cfRule>
  </conditionalFormatting>
  <conditionalFormatting sqref="L14">
    <cfRule type="expression" dxfId="179" priority="22">
      <formula>L11="Eigentum"</formula>
    </cfRule>
  </conditionalFormatting>
  <conditionalFormatting sqref="L15">
    <cfRule type="expression" dxfId="178" priority="23">
      <formula>L11="eigentum"</formula>
    </cfRule>
  </conditionalFormatting>
  <conditionalFormatting sqref="L16">
    <cfRule type="expression" dxfId="177" priority="24">
      <formula>K16&lt;&gt;0</formula>
    </cfRule>
  </conditionalFormatting>
  <conditionalFormatting sqref="L17">
    <cfRule type="expression" dxfId="176" priority="25">
      <formula>K17&lt;&gt;0</formula>
    </cfRule>
  </conditionalFormatting>
  <conditionalFormatting sqref="L18">
    <cfRule type="expression" dxfId="175" priority="26">
      <formula>L11="Eigentum"</formula>
    </cfRule>
  </conditionalFormatting>
  <conditionalFormatting sqref="X31:AC31">
    <cfRule type="cellIs" dxfId="174" priority="27" operator="notEqual">
      <formula>0</formula>
    </cfRule>
  </conditionalFormatting>
  <conditionalFormatting sqref="X31:AC31">
    <cfRule type="cellIs" dxfId="173" priority="28" operator="notEqual">
      <formula>0</formula>
    </cfRule>
  </conditionalFormatting>
  <conditionalFormatting sqref="X34:AC34">
    <cfRule type="cellIs" dxfId="172" priority="29" operator="notEqual">
      <formula>0</formula>
    </cfRule>
  </conditionalFormatting>
  <conditionalFormatting sqref="X37:AC37">
    <cfRule type="cellIs" dxfId="171" priority="30" operator="notEqual">
      <formula>0</formula>
    </cfRule>
  </conditionalFormatting>
  <conditionalFormatting sqref="AE32">
    <cfRule type="cellIs" dxfId="170" priority="31" operator="equal">
      <formula>"Bescheinigung Hilfebedürftigkeit für PKV"</formula>
    </cfRule>
  </conditionalFormatting>
  <conditionalFormatting sqref="AG54:AK54">
    <cfRule type="cellIs" dxfId="169" priority="32" operator="equal">
      <formula>"Pflichtversicherung!"</formula>
    </cfRule>
  </conditionalFormatting>
  <conditionalFormatting sqref="AE46">
    <cfRule type="cellIs" dxfId="168" priority="33" operator="equal">
      <formula>"Halbierung Höchstbeitrag durch PKV"</formula>
    </cfRule>
  </conditionalFormatting>
  <conditionalFormatting sqref="AG32:AK32">
    <cfRule type="cellIs" dxfId="167" priority="34" operator="notEqual">
      <formula>0</formula>
    </cfRule>
  </conditionalFormatting>
  <conditionalFormatting sqref="C23:H23">
    <cfRule type="cellIs" dxfId="166" priority="35" operator="equal">
      <formula>0</formula>
    </cfRule>
  </conditionalFormatting>
  <conditionalFormatting sqref="C32:I32">
    <cfRule type="cellIs" dxfId="165" priority="36" operator="equal">
      <formula>0</formula>
    </cfRule>
  </conditionalFormatting>
  <conditionalFormatting sqref="C45:I45">
    <cfRule type="cellIs" dxfId="164" priority="37" operator="equal">
      <formula>0</formula>
    </cfRule>
  </conditionalFormatting>
  <dataValidations count="3">
    <dataValidation type="decimal" operator="lessThanOrEqual" allowBlank="1" showInputMessage="1" showErrorMessage="1" error="Wert liegt über Höchstbetrag für 2017!" sqref="AG14:AK14">
      <formula1>682.95</formula1>
      <formula2>0</formula2>
    </dataValidation>
    <dataValidation type="decimal" operator="lessThanOrEqual" allowBlank="1" showInputMessage="1" showErrorMessage="1" error="Wert liegt über Höchstbeitrag für 2017!" sqref="AG19:AK19">
      <formula1>110.92</formula1>
      <formula2>0</formula2>
    </dataValidation>
    <dataValidation type="decimal" operator="lessThanOrEqual" allowBlank="1" showInputMessage="1" showErrorMessage="1" error="Handelt es sich tatsächlich um einen Pflichtbeitrag oder wird ein freiwilliger Beitrag zur GKV gezahlt?" sqref="AG23:AK23">
      <formula1>0</formula1>
      <formula2>0</formula2>
    </dataValidation>
  </dataValidations>
  <hyperlinks>
    <hyperlink ref="U46" location="Eingabetabelle!A152" display="Zurück"/>
    <hyperlink ref="K58" location="Eingabetabelle!A149" display="Zurück"/>
    <hyperlink ref="AE61" location="Eingabetabelle!A155" display="Zurück"/>
    <hyperlink ref="A162" location="Eingabetabelle!A146" display="Zurück"/>
  </hyperlinks>
  <pageMargins left="1.0631944444444399" right="7.8472222222222193E-2" top="0" bottom="0"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dimension ref="A1:BL121"/>
  <sheetViews>
    <sheetView showGridLines="0" topLeftCell="A44" zoomScale="120" zoomScaleNormal="120" workbookViewId="0">
      <selection activeCell="C62" sqref="C62"/>
    </sheetView>
  </sheetViews>
  <sheetFormatPr baseColWidth="10" defaultColWidth="11.5703125" defaultRowHeight="16.5"/>
  <cols>
    <col min="1" max="1" width="34.140625" style="801" customWidth="1"/>
    <col min="2" max="2" width="16.7109375" style="801" customWidth="1"/>
    <col min="3" max="4" width="12.85546875" style="801" customWidth="1"/>
    <col min="5" max="6" width="13" style="801" customWidth="1"/>
    <col min="7" max="7" width="12.5703125" style="801" customWidth="1"/>
    <col min="8" max="8" width="12.7109375" style="801" customWidth="1"/>
    <col min="9" max="9" width="13.42578125" style="801" customWidth="1"/>
    <col min="10" max="64" width="11.42578125" style="801" customWidth="1"/>
  </cols>
  <sheetData>
    <row r="1" spans="1:64" ht="30" customHeight="1">
      <c r="A1" s="1267" t="s">
        <v>2194</v>
      </c>
      <c r="H1" s="802" t="s">
        <v>2156</v>
      </c>
      <c r="I1" s="803">
        <f ca="1">TODAY()</f>
        <v>44774</v>
      </c>
    </row>
    <row r="2" spans="1:64" ht="36" customHeight="1">
      <c r="A2" s="1991" t="s">
        <v>2195</v>
      </c>
      <c r="B2" s="1991"/>
      <c r="C2" s="1991"/>
      <c r="D2" s="1991"/>
      <c r="E2" s="1991"/>
      <c r="F2" s="1991"/>
      <c r="G2" s="1991"/>
      <c r="H2" s="1991"/>
      <c r="I2" s="1991"/>
      <c r="J2" s="1268"/>
      <c r="K2" s="1268"/>
    </row>
    <row r="3" spans="1:64" ht="24.95" customHeight="1">
      <c r="A3" s="806" t="s">
        <v>138</v>
      </c>
      <c r="B3" s="1990">
        <f>Zusatzeingaben!B2</f>
        <v>0</v>
      </c>
      <c r="C3" s="1990"/>
      <c r="D3" s="807" t="s">
        <v>139</v>
      </c>
      <c r="E3" s="813">
        <f>Zusatzeingaben!E2</f>
        <v>44774</v>
      </c>
      <c r="F3" s="809" t="s">
        <v>2158</v>
      </c>
      <c r="G3" s="814">
        <f>Zusatzeingaben!F2</f>
        <v>44804</v>
      </c>
      <c r="H3" s="811"/>
      <c r="I3" s="812"/>
      <c r="J3" s="1268"/>
      <c r="K3" s="1268"/>
    </row>
    <row r="4" spans="1:64" ht="20.100000000000001" customHeight="1">
      <c r="A4" s="818"/>
      <c r="B4" s="819"/>
      <c r="C4" s="818"/>
      <c r="D4" s="818"/>
      <c r="E4" s="818"/>
      <c r="F4" s="818"/>
      <c r="G4" s="818"/>
      <c r="H4" s="818"/>
      <c r="I4" s="818"/>
    </row>
    <row r="5" spans="1:64" ht="21.95" customHeight="1">
      <c r="A5" s="826"/>
      <c r="B5" s="827" t="s">
        <v>246</v>
      </c>
      <c r="C5" s="827" t="str">
        <f>Zusatzeingaben!C4</f>
        <v>Antragsteller</v>
      </c>
      <c r="D5" s="827" t="str">
        <f>Zusatzeingaben!D4</f>
        <v>Partner(in)</v>
      </c>
      <c r="E5" s="827" t="str">
        <f>Zusatzeingaben!E4</f>
        <v>Kind 1</v>
      </c>
      <c r="F5" s="827" t="s">
        <v>145</v>
      </c>
      <c r="G5" s="827" t="s">
        <v>146</v>
      </c>
      <c r="H5" s="827" t="s">
        <v>147</v>
      </c>
      <c r="I5" s="828" t="s">
        <v>148</v>
      </c>
    </row>
    <row r="6" spans="1:64" ht="21.95" customHeight="1">
      <c r="A6" s="839" t="s">
        <v>2159</v>
      </c>
      <c r="B6" s="840">
        <f>Zusatzeingaben!B6</f>
        <v>1</v>
      </c>
      <c r="C6" s="841">
        <f>Zusatzeingaben!C6</f>
        <v>0</v>
      </c>
      <c r="D6" s="841">
        <f>Zusatzeingaben!D6</f>
        <v>0</v>
      </c>
      <c r="E6" s="841">
        <f>Zusatzeingaben!E6</f>
        <v>0</v>
      </c>
      <c r="F6" s="841">
        <f>Zusatzeingaben!F6</f>
        <v>0</v>
      </c>
      <c r="G6" s="841">
        <f>Zusatzeingaben!G6</f>
        <v>0</v>
      </c>
      <c r="H6" s="841">
        <f>Zusatzeingaben!H6</f>
        <v>0</v>
      </c>
      <c r="I6" s="842">
        <f>Zusatzeingaben!I6</f>
        <v>0</v>
      </c>
    </row>
    <row r="7" spans="1:64" ht="21.95" customHeight="1">
      <c r="A7" s="854" t="s">
        <v>2161</v>
      </c>
      <c r="B7" s="855"/>
      <c r="C7" s="856">
        <f>Zusatzeingaben!C22</f>
        <v>0</v>
      </c>
      <c r="D7" s="856">
        <f>Zusatzeingaben!D22</f>
        <v>0</v>
      </c>
      <c r="E7" s="856">
        <f>IF(Zusatzeingaben!E16=0,Zusatzeingaben!E16,Zusatzeingaben!E22)</f>
        <v>0</v>
      </c>
      <c r="F7" s="856">
        <f>IF(Zusatzeingaben!F16=0,Zusatzeingaben!F16,Zusatzeingaben!F22)</f>
        <v>0</v>
      </c>
      <c r="G7" s="856">
        <f>IF(Zusatzeingaben!G16=0,Zusatzeingaben!G16,Zusatzeingaben!G22)</f>
        <v>0</v>
      </c>
      <c r="H7" s="856">
        <f>IF(Zusatzeingaben!H16=0,Zusatzeingaben!H16,Zusatzeingaben!H22)</f>
        <v>0</v>
      </c>
      <c r="I7" s="857">
        <f>IF(Zusatzeingaben!I16=0,Zusatzeingaben!I16,Zusatzeingaben!I22)</f>
        <v>0</v>
      </c>
      <c r="N7" s="834"/>
    </row>
    <row r="8" spans="1:64" ht="30" customHeight="1">
      <c r="A8" s="834"/>
      <c r="B8" s="869"/>
      <c r="C8" s="870"/>
      <c r="D8" s="870"/>
      <c r="E8" s="870"/>
      <c r="F8" s="870"/>
      <c r="G8" s="870"/>
      <c r="H8" s="870"/>
      <c r="I8" s="870"/>
      <c r="L8" s="834"/>
    </row>
    <row r="9" spans="1:64" ht="24.95" customHeight="1">
      <c r="A9" s="1977" t="str">
        <f>IF(B11="eigentum","Belastung","Miete")</f>
        <v>Miete</v>
      </c>
      <c r="B9" s="1977"/>
      <c r="C9" s="1977"/>
      <c r="D9" s="1977"/>
      <c r="E9" s="1977"/>
      <c r="F9" s="1977"/>
      <c r="G9" s="1977"/>
      <c r="H9" s="1977"/>
      <c r="I9" s="1977"/>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69"/>
      <c r="AY9" s="1269"/>
      <c r="AZ9" s="1269"/>
      <c r="BA9" s="1269"/>
      <c r="BB9" s="1269"/>
      <c r="BC9" s="1269"/>
      <c r="BD9" s="1269"/>
      <c r="BE9" s="1269"/>
      <c r="BF9" s="1269"/>
      <c r="BG9" s="1269"/>
      <c r="BH9" s="1269"/>
      <c r="BI9" s="1269"/>
      <c r="BJ9" s="1269"/>
      <c r="BK9" s="1269"/>
      <c r="BL9" s="1269"/>
    </row>
    <row r="10" spans="1:64" ht="20.100000000000001" customHeight="1">
      <c r="A10" s="896" t="s">
        <v>282</v>
      </c>
      <c r="B10" s="897" t="str">
        <f>Zusatzeingaben!F252</f>
        <v>VI</v>
      </c>
      <c r="C10" s="898"/>
      <c r="D10" s="898"/>
      <c r="E10" s="898"/>
      <c r="F10" s="899"/>
      <c r="G10" s="899"/>
      <c r="H10" s="899"/>
      <c r="I10" s="900"/>
    </row>
    <row r="11" spans="1:64" ht="20.100000000000001" customHeight="1">
      <c r="A11" s="896" t="s">
        <v>52</v>
      </c>
      <c r="B11" s="909" t="str">
        <f>Zusatzeingaben!B253</f>
        <v>Miete</v>
      </c>
      <c r="C11" s="898"/>
      <c r="D11" s="898"/>
      <c r="E11" s="898"/>
      <c r="F11" s="899"/>
      <c r="G11" s="899"/>
      <c r="H11" s="899"/>
      <c r="I11" s="900"/>
    </row>
    <row r="12" spans="1:64" ht="20.100000000000001" customHeight="1">
      <c r="A12" s="917" t="str">
        <f>IF(B11="miete",Zusatzeingaben!A254,0)</f>
        <v>tatsächliche monatliche Bruttokaltmiete</v>
      </c>
      <c r="B12" s="918">
        <f>IF(B11="miete",Zusatzeingaben!B254,0)</f>
        <v>0</v>
      </c>
      <c r="C12" s="637"/>
      <c r="D12" s="637"/>
      <c r="E12" s="637"/>
      <c r="F12" s="637"/>
      <c r="G12" s="637"/>
      <c r="H12" s="637"/>
      <c r="I12" s="638"/>
    </row>
    <row r="13" spans="1:64" ht="20.100000000000001" customHeight="1">
      <c r="A13" s="926">
        <f>IF($B$11="Eigentum","Berechnung der Belastung",0)</f>
        <v>0</v>
      </c>
      <c r="B13" s="918"/>
      <c r="C13" s="637"/>
      <c r="D13" s="637"/>
      <c r="E13" s="637"/>
      <c r="F13" s="637"/>
      <c r="G13" s="637"/>
      <c r="H13" s="637"/>
      <c r="I13" s="638"/>
    </row>
    <row r="14" spans="1:64" ht="20.100000000000001" customHeight="1">
      <c r="A14" s="930">
        <f>IF($B$11="Eigentum","1. Instandhaltungs- und Betriebskosten",0)</f>
        <v>0</v>
      </c>
      <c r="B14" s="918">
        <f>IF(B11="Eigentum",Zusatzeingaben!B255*36/12,0)</f>
        <v>0</v>
      </c>
      <c r="C14" s="1984">
        <f>IF(B11="eigentum","("&amp;Zusatzeingaben!B255&amp;" m² x 36 € : 12)",0)</f>
        <v>0</v>
      </c>
      <c r="D14" s="1984"/>
      <c r="E14" s="637"/>
      <c r="F14" s="637"/>
      <c r="G14" s="637"/>
      <c r="H14" s="637"/>
      <c r="I14" s="638"/>
    </row>
    <row r="15" spans="1:64" ht="20.100000000000001" customHeight="1">
      <c r="A15" s="930">
        <f>IF($B$11="Eigentum","2. Grundsteuer",0)</f>
        <v>0</v>
      </c>
      <c r="B15" s="918">
        <f>IF($B$11="Eigentum",Zusatzeingaben!B257,0)</f>
        <v>0</v>
      </c>
      <c r="C15" s="637"/>
      <c r="D15" s="637"/>
      <c r="E15" s="637"/>
      <c r="F15" s="637"/>
      <c r="G15" s="637"/>
      <c r="H15" s="637"/>
      <c r="I15" s="638"/>
    </row>
    <row r="16" spans="1:64" ht="20.100000000000001" customHeight="1">
      <c r="A16" s="930">
        <f>IF(AND(Zusatzeingaben!B256&gt;0,$B$11="Eigentum"),"3. Zins- und Tilgungsrate",0)</f>
        <v>0</v>
      </c>
      <c r="B16" s="918">
        <f>IF($B$11="Eigentum",Zusatzeingaben!B256,0)</f>
        <v>0</v>
      </c>
      <c r="C16" s="637"/>
      <c r="D16" s="637"/>
      <c r="E16" s="637"/>
      <c r="F16" s="637"/>
      <c r="G16" s="637"/>
      <c r="H16" s="637"/>
      <c r="I16" s="638"/>
    </row>
    <row r="17" spans="1:64" ht="20.100000000000001" customHeight="1">
      <c r="A17" s="930">
        <f>IF(AND(Zusatzeingaben!B258&lt;&gt;0,$B$11="Eigentum"),"./. Nutzungswert "&amp;Zusatzeingaben!B258&amp;"",0)</f>
        <v>0</v>
      </c>
      <c r="B17" s="918">
        <f>IF(AND($B$11="Eigentum",Zusatzeingaben!B258="Garage"),36,IF(AND($B$11="Eigentum",Zusatzeingaben!B258="PKW-Stellplatz"),23,0))</f>
        <v>0</v>
      </c>
      <c r="C17" s="637"/>
      <c r="D17" s="637"/>
      <c r="E17" s="637"/>
      <c r="F17" s="637"/>
      <c r="G17" s="637"/>
      <c r="H17" s="637"/>
      <c r="I17" s="638"/>
    </row>
    <row r="18" spans="1:64" ht="20.100000000000001" customHeight="1">
      <c r="A18" s="917">
        <f>IF($B$11="Eigentum","monatliche Belastung",0)</f>
        <v>0</v>
      </c>
      <c r="B18" s="918">
        <f>IF($B$11="Eigentum",B14+B15+B16-B17,0)</f>
        <v>0</v>
      </c>
      <c r="C18" s="637"/>
      <c r="D18" s="637"/>
      <c r="E18" s="637"/>
      <c r="F18" s="637"/>
      <c r="G18" s="637"/>
      <c r="H18" s="637"/>
      <c r="I18" s="638"/>
    </row>
    <row r="19" spans="1:64" ht="21.95" customHeight="1">
      <c r="A19" s="950" t="s">
        <v>2196</v>
      </c>
      <c r="B19" s="951">
        <f>VLOOKUP(B10,G96:H101,2)</f>
        <v>522</v>
      </c>
      <c r="C19" s="952"/>
      <c r="D19" s="952"/>
      <c r="E19" s="952"/>
      <c r="F19" s="952"/>
      <c r="G19" s="952"/>
      <c r="H19" s="952"/>
      <c r="I19" s="953"/>
    </row>
    <row r="20" spans="1:64" ht="23.25" customHeight="1">
      <c r="A20" s="959" t="str">
        <f>IF(B11="Eigentum","zu berücksichtigende Belastung","zu berücksichtigende Miete")</f>
        <v>zu berücksichtigende Miete</v>
      </c>
      <c r="B20" s="960">
        <f>IF(B11="eigentum",MIN(B18,B19),MIN(B12,B19))</f>
        <v>0</v>
      </c>
      <c r="C20" s="961"/>
      <c r="D20" s="961"/>
      <c r="E20" s="961"/>
      <c r="F20" s="961"/>
      <c r="G20" s="961"/>
      <c r="H20" s="961"/>
      <c r="I20" s="962"/>
    </row>
    <row r="21" spans="1:64" ht="30" customHeight="1">
      <c r="C21" s="966">
        <f>VLOOKUP(E3,Bedarfssätze!B7:C14,2)</f>
        <v>391</v>
      </c>
      <c r="D21" s="966">
        <f>VLOOKUP(E3,Bedarfssätze!E7:F14,2)</f>
        <v>353</v>
      </c>
      <c r="E21" s="966">
        <f>VLOOKUP(E3,Bedarfssätze!B26:C33,2)</f>
        <v>296</v>
      </c>
      <c r="F21" s="966">
        <f>VLOOKUP(E3,Bedarfssätze!E26:F33,2)</f>
        <v>261</v>
      </c>
      <c r="G21" s="966">
        <f>VLOOKUP(E3,Bedarfssätze!H26:I33,2)</f>
        <v>229</v>
      </c>
      <c r="H21" s="966">
        <f>VLOOKUP(E3,Bedarfssätze!H7:I14,2)</f>
        <v>313</v>
      </c>
    </row>
    <row r="22" spans="1:64" ht="24.95" customHeight="1">
      <c r="A22" s="1977" t="s">
        <v>2197</v>
      </c>
      <c r="B22" s="1977"/>
      <c r="C22" s="1977"/>
      <c r="D22" s="1977"/>
      <c r="E22" s="1977"/>
      <c r="F22" s="1977"/>
      <c r="G22" s="1977"/>
      <c r="H22" s="1977"/>
      <c r="I22" s="1977"/>
      <c r="J22" s="1269"/>
      <c r="K22" s="1269"/>
      <c r="L22" s="1269"/>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1269"/>
      <c r="AI22" s="1269"/>
      <c r="AJ22" s="1269"/>
      <c r="AK22" s="1269"/>
      <c r="AL22" s="1269"/>
      <c r="AM22" s="1269"/>
      <c r="AN22" s="1269"/>
      <c r="AO22" s="1269"/>
      <c r="AP22" s="1269"/>
      <c r="AQ22" s="1269"/>
      <c r="AR22" s="1269"/>
      <c r="AS22" s="1269"/>
      <c r="AT22" s="1269"/>
      <c r="AU22" s="1269"/>
      <c r="AV22" s="1269"/>
      <c r="AW22" s="1269"/>
      <c r="AX22" s="1269"/>
      <c r="AY22" s="1269"/>
      <c r="AZ22" s="1269"/>
      <c r="BA22" s="1269"/>
      <c r="BB22" s="1269"/>
      <c r="BC22" s="1269"/>
      <c r="BD22" s="1269"/>
      <c r="BE22" s="1269"/>
      <c r="BF22" s="1269"/>
      <c r="BG22" s="1269"/>
      <c r="BH22" s="1269"/>
      <c r="BI22" s="1269"/>
      <c r="BJ22" s="1269"/>
      <c r="BK22" s="1269"/>
      <c r="BL22" s="1269"/>
    </row>
    <row r="23" spans="1:64" ht="17.25" customHeight="1">
      <c r="A23" s="839"/>
      <c r="B23" s="972" t="s">
        <v>246</v>
      </c>
      <c r="C23" s="972" t="str">
        <f>Zusatzeingaben!C4</f>
        <v>Antragsteller</v>
      </c>
      <c r="D23" s="972" t="str">
        <f>Zusatzeingaben!D4</f>
        <v>Partner(in)</v>
      </c>
      <c r="E23" s="972" t="str">
        <f>Zusatzeingaben!E4</f>
        <v>Kind 1</v>
      </c>
      <c r="F23" s="972" t="s">
        <v>145</v>
      </c>
      <c r="G23" s="972" t="s">
        <v>146</v>
      </c>
      <c r="H23" s="972" t="s">
        <v>147</v>
      </c>
      <c r="I23" s="973" t="s">
        <v>148</v>
      </c>
    </row>
    <row r="24" spans="1:64">
      <c r="A24" s="976">
        <f>IF(B24&gt;0,"Einnahmen aus nichtselbständiger Arbeit",0)</f>
        <v>0</v>
      </c>
      <c r="B24" s="977">
        <f>SUM(C24:I24)</f>
        <v>0</v>
      </c>
      <c r="C24" s="522">
        <f>Zusatzeingaben!C260</f>
        <v>0</v>
      </c>
      <c r="D24" s="522">
        <f>Zusatzeingaben!D260</f>
        <v>0</v>
      </c>
      <c r="E24" s="522">
        <f>Zusatzeingaben!E260</f>
        <v>0</v>
      </c>
      <c r="F24" s="522">
        <f>Zusatzeingaben!F260</f>
        <v>0</v>
      </c>
      <c r="G24" s="522">
        <f>Zusatzeingaben!G260</f>
        <v>0</v>
      </c>
      <c r="H24" s="522">
        <f>Zusatzeingaben!H260</f>
        <v>0</v>
      </c>
      <c r="I24" s="523">
        <f>Zusatzeingaben!I260</f>
        <v>0</v>
      </c>
    </row>
    <row r="25" spans="1:64">
      <c r="A25" s="976">
        <f>IF(B25&gt;0,"Einnahmen aus geringfügiger Beschäftigung",0)</f>
        <v>0</v>
      </c>
      <c r="B25" s="977">
        <f>SUM(C25:I25)</f>
        <v>0</v>
      </c>
      <c r="C25" s="522">
        <f>Zusatzeingaben!C262</f>
        <v>0</v>
      </c>
      <c r="D25" s="522">
        <f>Zusatzeingaben!D262</f>
        <v>0</v>
      </c>
      <c r="E25" s="522">
        <f>Zusatzeingaben!E262</f>
        <v>0</v>
      </c>
      <c r="F25" s="522">
        <f>Zusatzeingaben!F262</f>
        <v>0</v>
      </c>
      <c r="G25" s="522">
        <f>Zusatzeingaben!G262</f>
        <v>0</v>
      </c>
      <c r="H25" s="522">
        <f>Zusatzeingaben!H262</f>
        <v>0</v>
      </c>
      <c r="I25" s="523">
        <f>Zusatzeingaben!I262</f>
        <v>0</v>
      </c>
    </row>
    <row r="26" spans="1:64">
      <c r="A26" s="976">
        <f>IF(B26&gt;0,Zusatzeingaben!A139,0)</f>
        <v>0</v>
      </c>
      <c r="B26" s="977">
        <f>SUM(C26:I26)</f>
        <v>0</v>
      </c>
      <c r="C26" s="522">
        <f>Zusatzeingaben!C139*12</f>
        <v>0</v>
      </c>
      <c r="D26" s="522">
        <f>Zusatzeingaben!D139*12</f>
        <v>0</v>
      </c>
      <c r="E26" s="522">
        <f>Zusatzeingaben!E139*12</f>
        <v>0</v>
      </c>
      <c r="F26" s="522">
        <f>Zusatzeingaben!F139*12</f>
        <v>0</v>
      </c>
      <c r="G26" s="522">
        <f>Zusatzeingaben!G139*12</f>
        <v>0</v>
      </c>
      <c r="H26" s="522">
        <f>Zusatzeingaben!H139*12</f>
        <v>0</v>
      </c>
      <c r="I26" s="523">
        <f>Zusatzeingaben!I139*12</f>
        <v>0</v>
      </c>
    </row>
    <row r="27" spans="1:64" hidden="1">
      <c r="A27" s="976"/>
      <c r="B27" s="522"/>
      <c r="C27" s="522">
        <f>Zusatzeingaben!C138-200</f>
        <v>-200</v>
      </c>
      <c r="D27" s="522">
        <f>Zusatzeingaben!D138-200</f>
        <v>-200</v>
      </c>
      <c r="E27" s="522">
        <f>Zusatzeingaben!E138-200</f>
        <v>-200</v>
      </c>
      <c r="F27" s="522">
        <f>Zusatzeingaben!F138-200</f>
        <v>-200</v>
      </c>
      <c r="G27" s="522">
        <f>Zusatzeingaben!G138-200</f>
        <v>-200</v>
      </c>
      <c r="H27" s="522">
        <f>Zusatzeingaben!H138-200</f>
        <v>-200</v>
      </c>
      <c r="I27" s="523">
        <f>Zusatzeingaben!I138-200</f>
        <v>-200</v>
      </c>
    </row>
    <row r="28" spans="1:64">
      <c r="A28" s="976">
        <f>IF(B28&gt;0,"steuerfreie Einnahmen Ehrenamt o.ä.",0)</f>
        <v>0</v>
      </c>
      <c r="B28" s="977">
        <f>SUM(C28:I28)</f>
        <v>0</v>
      </c>
      <c r="C28" s="522">
        <f t="shared" ref="C28:I28" si="0">IF(C27&lt;0,0,C27*12)</f>
        <v>0</v>
      </c>
      <c r="D28" s="522">
        <f t="shared" si="0"/>
        <v>0</v>
      </c>
      <c r="E28" s="522">
        <f t="shared" si="0"/>
        <v>0</v>
      </c>
      <c r="F28" s="522">
        <f t="shared" si="0"/>
        <v>0</v>
      </c>
      <c r="G28" s="522">
        <f t="shared" si="0"/>
        <v>0</v>
      </c>
      <c r="H28" s="522">
        <f t="shared" si="0"/>
        <v>0</v>
      </c>
      <c r="I28" s="523">
        <f t="shared" si="0"/>
        <v>0</v>
      </c>
    </row>
    <row r="29" spans="1:64">
      <c r="A29" s="976">
        <f>IF(B29&gt;0,"Sachbezug aus Freiwilligendiensten",0)</f>
        <v>0</v>
      </c>
      <c r="B29" s="977">
        <f>SUM(C29:I29)</f>
        <v>0</v>
      </c>
      <c r="C29" s="522">
        <f>Zusatzeingaben!C263*12</f>
        <v>0</v>
      </c>
      <c r="D29" s="522">
        <f>Zusatzeingaben!D263*12</f>
        <v>0</v>
      </c>
      <c r="E29" s="522">
        <f>Zusatzeingaben!E263*12</f>
        <v>0</v>
      </c>
      <c r="F29" s="522">
        <f>Zusatzeingaben!F263*12</f>
        <v>0</v>
      </c>
      <c r="G29" s="522">
        <f>Zusatzeingaben!G263*12</f>
        <v>0</v>
      </c>
      <c r="H29" s="522">
        <f>Zusatzeingaben!H263*12</f>
        <v>0</v>
      </c>
      <c r="I29" s="523">
        <f>Zusatzeingaben!I263*12</f>
        <v>0</v>
      </c>
    </row>
    <row r="30" spans="1:64" hidden="1">
      <c r="A30" s="976"/>
      <c r="B30" s="522"/>
      <c r="C30" s="522">
        <f>IF(Zusatzeingaben!C176="ja",Zusatzeingaben!C174-150,Zusatzeingaben!C174-300)</f>
        <v>-300</v>
      </c>
      <c r="D30" s="522">
        <f>IF(Zusatzeingaben!D176="ja",Zusatzeingaben!D174-150,Zusatzeingaben!D174-300)</f>
        <v>-300</v>
      </c>
      <c r="E30" s="522"/>
      <c r="F30" s="522"/>
      <c r="G30" s="522"/>
      <c r="H30" s="522"/>
      <c r="I30" s="523"/>
    </row>
    <row r="31" spans="1:64">
      <c r="A31" s="976">
        <f>IF(B31&gt;0,"anrechenbares Elterngeld",0)</f>
        <v>0</v>
      </c>
      <c r="B31" s="977">
        <f t="shared" ref="B31:B39" si="1">SUM(C31:I31)</f>
        <v>0</v>
      </c>
      <c r="C31" s="522">
        <f>IF(C30&lt;0,0,C30*12)</f>
        <v>0</v>
      </c>
      <c r="D31" s="522">
        <f>IF(D30&lt;0,0,D30*12)</f>
        <v>0</v>
      </c>
      <c r="E31" s="522"/>
      <c r="F31" s="522"/>
      <c r="G31" s="522"/>
      <c r="H31" s="522"/>
      <c r="I31" s="523"/>
    </row>
    <row r="32" spans="1:64">
      <c r="A32" s="976">
        <f>IF(B32&gt;0,Zusatzeingaben!A180,0)</f>
        <v>0</v>
      </c>
      <c r="B32" s="977">
        <f t="shared" si="1"/>
        <v>0</v>
      </c>
      <c r="C32" s="522">
        <f>IF(Zusatzeingaben!$A$180="Ausbildungsgeld",Zusatzeingaben!C180/2*12,IF(Zusatzeingaben!$A$180="Berufsausbildungsbeihilfe",Zusatzeingaben!C180/2*12,IF(Zusatzeingaben!$A$180="BAföG",Zusatzeingaben!C268/2*12,IF(Zusatzeingaben!$A$180="Unterhaltsbeitrag nach AFBG",Zusatzeingaben!C268/2*12,0))))</f>
        <v>0</v>
      </c>
      <c r="D32" s="522">
        <f>IF(Zusatzeingaben!$A$180="Ausbildungsgeld",Zusatzeingaben!D180/2*12,IF(Zusatzeingaben!$A$180="Berufsausbildungsbeihilfe",Zusatzeingaben!D180/2*12,IF(Zusatzeingaben!$A$180="BAföG",Zusatzeingaben!D268/2*12,IF(Zusatzeingaben!$A$180="Unterhaltsbeitrag nach AFBG",Zusatzeingaben!D268/2*12,0))))</f>
        <v>0</v>
      </c>
      <c r="E32" s="522">
        <f>IF(Zusatzeingaben!$A$180="Ausbildungsgeld",Zusatzeingaben!E180/2*12,IF(Zusatzeingaben!$A$180="Berufsausbildungsbeihilfe",Zusatzeingaben!E180/2*12,IF(Zusatzeingaben!$A$180="BAföG",Zusatzeingaben!E268/2*12,IF(Zusatzeingaben!$A$180="Unterhaltsbeitrag nach AFBG",Zusatzeingaben!E268/2*12,0))))</f>
        <v>0</v>
      </c>
      <c r="F32" s="522">
        <f>IF(Zusatzeingaben!$A$180="Ausbildungsgeld",Zusatzeingaben!F180/2*12,IF(Zusatzeingaben!$A$180="Berufsausbildungsbeihilfe",Zusatzeingaben!F180/2*12,IF(Zusatzeingaben!$A$180="BAföG",Zusatzeingaben!F268/2*12,IF(Zusatzeingaben!$A$180="Unterhaltsbeitrag nach AFBG",Zusatzeingaben!F268/2*12,0))))</f>
        <v>0</v>
      </c>
      <c r="G32" s="522"/>
      <c r="H32" s="522"/>
      <c r="I32" s="523"/>
    </row>
    <row r="33" spans="1:64">
      <c r="A33" s="976">
        <f>IF(B33&gt;0,"Unterhalt/Unterhaltsvorschuss",0)</f>
        <v>0</v>
      </c>
      <c r="B33" s="977">
        <f t="shared" si="1"/>
        <v>0</v>
      </c>
      <c r="C33" s="522">
        <f>Zusatzeingaben!C195*12</f>
        <v>0</v>
      </c>
      <c r="D33" s="522">
        <f>Zusatzeingaben!D195*12</f>
        <v>0</v>
      </c>
      <c r="E33" s="522">
        <f>Zusatzeingaben!E195*12</f>
        <v>0</v>
      </c>
      <c r="F33" s="522">
        <f>Zusatzeingaben!F195*12</f>
        <v>0</v>
      </c>
      <c r="G33" s="522">
        <f>Zusatzeingaben!G195*12</f>
        <v>0</v>
      </c>
      <c r="H33" s="522">
        <f>Zusatzeingaben!H195*12</f>
        <v>0</v>
      </c>
      <c r="I33" s="523">
        <f>Zusatzeingaben!I195*12</f>
        <v>0</v>
      </c>
    </row>
    <row r="34" spans="1:64">
      <c r="A34" s="976">
        <f>IF(B34&gt;0,Zusatzeingaben!A196,0)</f>
        <v>0</v>
      </c>
      <c r="B34" s="977">
        <f t="shared" si="1"/>
        <v>0</v>
      </c>
      <c r="C34" s="522">
        <f>Zusatzeingaben!C196*12</f>
        <v>0</v>
      </c>
      <c r="D34" s="522">
        <f>Zusatzeingaben!D196*12</f>
        <v>0</v>
      </c>
      <c r="E34" s="522">
        <f>Zusatzeingaben!E196*12</f>
        <v>0</v>
      </c>
      <c r="F34" s="522">
        <f>Zusatzeingaben!F196*12</f>
        <v>0</v>
      </c>
      <c r="G34" s="522">
        <f>Zusatzeingaben!G196*12</f>
        <v>0</v>
      </c>
      <c r="H34" s="522">
        <f>Zusatzeingaben!H196*12</f>
        <v>0</v>
      </c>
      <c r="I34" s="523">
        <f>Zusatzeingaben!I196*12</f>
        <v>0</v>
      </c>
    </row>
    <row r="35" spans="1:64">
      <c r="A35" s="976">
        <f>IF(B35&gt;0,"Bruttorente(n)",0)</f>
        <v>0</v>
      </c>
      <c r="B35" s="977">
        <f t="shared" si="1"/>
        <v>0</v>
      </c>
      <c r="C35" s="522">
        <f>Zusatzeingaben!C266*12</f>
        <v>0</v>
      </c>
      <c r="D35" s="522">
        <f>Zusatzeingaben!D266*12</f>
        <v>0</v>
      </c>
      <c r="E35" s="522">
        <f>Zusatzeingaben!E266*12</f>
        <v>0</v>
      </c>
      <c r="F35" s="522">
        <f>Zusatzeingaben!F266*12</f>
        <v>0</v>
      </c>
      <c r="G35" s="522">
        <f>Zusatzeingaben!G266*12</f>
        <v>0</v>
      </c>
      <c r="H35" s="522">
        <f>Zusatzeingaben!H266*12</f>
        <v>0</v>
      </c>
      <c r="I35" s="523">
        <f>Zusatzeingaben!I266*12</f>
        <v>0</v>
      </c>
    </row>
    <row r="36" spans="1:64">
      <c r="A36" s="976">
        <f>IF(B36&gt;0,Zusatzeingaben!A267,0)</f>
        <v>0</v>
      </c>
      <c r="B36" s="977">
        <f t="shared" si="1"/>
        <v>0</v>
      </c>
      <c r="C36" s="522">
        <f>Zusatzeingaben!C267*12</f>
        <v>0</v>
      </c>
      <c r="D36" s="522">
        <f>Zusatzeingaben!D267*12</f>
        <v>0</v>
      </c>
      <c r="E36" s="522">
        <f>Zusatzeingaben!E267*12</f>
        <v>0</v>
      </c>
      <c r="F36" s="522">
        <f>Zusatzeingaben!F267*12</f>
        <v>0</v>
      </c>
      <c r="G36" s="522">
        <f>Zusatzeingaben!G267*12</f>
        <v>0</v>
      </c>
      <c r="H36" s="522">
        <f>Zusatzeingaben!H267*12</f>
        <v>0</v>
      </c>
      <c r="I36" s="523">
        <f>Zusatzeingaben!I267*12</f>
        <v>0</v>
      </c>
    </row>
    <row r="37" spans="1:64">
      <c r="A37" s="976">
        <f>IF(AND(B37&gt;0,OR(Zusatzeingaben!A198="Mutterschaftsgeld",Zusatzeingaben!A198="Übergangsgeld")),Zusatzeingaben!A198,0)</f>
        <v>0</v>
      </c>
      <c r="B37" s="977">
        <f t="shared" si="1"/>
        <v>0</v>
      </c>
      <c r="C37" s="522">
        <f>IF(OR(Zusatzeingaben!$A$198="Mutterschaftsgeld",Zusatzeingaben!$A$198="Übergangsgeld"),Zusatzeingaben!C198*12,0)</f>
        <v>0</v>
      </c>
      <c r="D37" s="522">
        <f>IF(OR(Zusatzeingaben!$A$198="Mutterschaftsgeld",Zusatzeingaben!$A$198="Übergangsgeld"),Zusatzeingaben!D198*12,0)</f>
        <v>0</v>
      </c>
      <c r="E37" s="522">
        <f>IF(OR(Zusatzeingaben!$A$198="Mutterschaftsgeld",Zusatzeingaben!$A$198="Übergangsgeld"),Zusatzeingaben!E198*12,0)</f>
        <v>0</v>
      </c>
      <c r="F37" s="522">
        <f>IF(OR(Zusatzeingaben!$A$198="Mutterschaftsgeld",Zusatzeingaben!$A$198="Übergangsgeld"),Zusatzeingaben!F198*12,0)</f>
        <v>0</v>
      </c>
      <c r="G37" s="522">
        <f>IF(OR(Zusatzeingaben!$A$198="Mutterschaftsgeld",Zusatzeingaben!$A$198="Übergangsgeld"),Zusatzeingaben!G198*12,0)</f>
        <v>0</v>
      </c>
      <c r="H37" s="522">
        <f>IF(OR(Zusatzeingaben!$A$198="Mutterschaftsgeld",Zusatzeingaben!$A$198="Übergangsgeld"),Zusatzeingaben!H198*12,0)</f>
        <v>0</v>
      </c>
      <c r="I37" s="523">
        <f>IF(OR(Zusatzeingaben!$A$198="Mutterschaftsgeld",Zusatzeingaben!$A$198="Übergangsgeld"),Zusatzeingaben!I198*12,0)</f>
        <v>0</v>
      </c>
    </row>
    <row r="38" spans="1:64" ht="16.5" customHeight="1">
      <c r="A38" s="1022">
        <f>IF(B38&gt;0,Zusatzeingaben!A199,0)</f>
        <v>0</v>
      </c>
      <c r="B38" s="1023">
        <f t="shared" si="1"/>
        <v>0</v>
      </c>
      <c r="C38" s="1024">
        <f>Zusatzeingaben!C199*12</f>
        <v>0</v>
      </c>
      <c r="D38" s="1024">
        <f>Zusatzeingaben!D199*12</f>
        <v>0</v>
      </c>
      <c r="E38" s="1024">
        <f>Zusatzeingaben!E199*12</f>
        <v>0</v>
      </c>
      <c r="F38" s="1024">
        <f>Zusatzeingaben!F199*12</f>
        <v>0</v>
      </c>
      <c r="G38" s="1024">
        <f>Zusatzeingaben!G199*12</f>
        <v>0</v>
      </c>
      <c r="H38" s="1024">
        <f>Zusatzeingaben!H199*12</f>
        <v>0</v>
      </c>
      <c r="I38" s="1025">
        <f>Zusatzeingaben!I199*12</f>
        <v>0</v>
      </c>
    </row>
    <row r="39" spans="1:64">
      <c r="A39" s="1029" t="s">
        <v>2198</v>
      </c>
      <c r="B39" s="1030">
        <f t="shared" si="1"/>
        <v>0</v>
      </c>
      <c r="C39" s="1031">
        <f t="shared" ref="C39:I39" si="2">C24+C25+C26+C28+C29+C31+C32+C33+C34+C35+C36+C37+C38</f>
        <v>0</v>
      </c>
      <c r="D39" s="1031">
        <f t="shared" si="2"/>
        <v>0</v>
      </c>
      <c r="E39" s="1031">
        <f t="shared" si="2"/>
        <v>0</v>
      </c>
      <c r="F39" s="1031">
        <f t="shared" si="2"/>
        <v>0</v>
      </c>
      <c r="G39" s="1031">
        <f t="shared" si="2"/>
        <v>0</v>
      </c>
      <c r="H39" s="1031">
        <f t="shared" si="2"/>
        <v>0</v>
      </c>
      <c r="I39" s="1032">
        <f t="shared" si="2"/>
        <v>0</v>
      </c>
    </row>
    <row r="40" spans="1:64" ht="9.9499999999999993" hidden="1" customHeight="1">
      <c r="A40" s="1037"/>
      <c r="B40" s="637"/>
      <c r="C40" s="637"/>
      <c r="D40" s="637"/>
      <c r="E40" s="637"/>
      <c r="F40" s="637"/>
      <c r="G40" s="637"/>
      <c r="H40" s="637"/>
      <c r="I40" s="638"/>
      <c r="J40" s="1080"/>
      <c r="K40" s="1080"/>
      <c r="L40" s="1080"/>
      <c r="M40" s="1080"/>
      <c r="N40" s="1080"/>
      <c r="O40" s="1080"/>
      <c r="P40" s="1080"/>
      <c r="Q40" s="1080"/>
      <c r="R40" s="1080"/>
      <c r="S40" s="1080"/>
      <c r="T40" s="1080"/>
      <c r="U40" s="1080"/>
      <c r="V40" s="1080"/>
      <c r="W40" s="1080"/>
      <c r="X40" s="1080"/>
      <c r="Y40" s="1080"/>
      <c r="Z40" s="1080"/>
      <c r="AA40" s="1080"/>
      <c r="AB40" s="1080"/>
      <c r="AC40" s="1080"/>
      <c r="AD40" s="1080"/>
      <c r="AE40" s="1080"/>
      <c r="AF40" s="1080"/>
      <c r="AG40" s="1080"/>
      <c r="AH40" s="1080"/>
      <c r="AI40" s="1080"/>
      <c r="AJ40" s="1080"/>
      <c r="AK40" s="1080"/>
      <c r="AL40" s="1080"/>
      <c r="AM40" s="1080"/>
      <c r="AN40" s="1080"/>
      <c r="AO40" s="1080"/>
      <c r="AP40" s="1080"/>
      <c r="AQ40" s="1080"/>
      <c r="AR40" s="1080"/>
      <c r="AS40" s="1080"/>
      <c r="AT40" s="1080"/>
      <c r="AU40" s="1080"/>
      <c r="AV40" s="1080"/>
      <c r="AW40" s="1080"/>
      <c r="AX40" s="1080"/>
      <c r="AY40" s="1080"/>
      <c r="AZ40" s="1080"/>
      <c r="BA40" s="1080"/>
      <c r="BB40" s="1080"/>
      <c r="BC40" s="1080"/>
      <c r="BD40" s="1080"/>
      <c r="BE40" s="1080"/>
      <c r="BF40" s="1080"/>
      <c r="BG40" s="1080"/>
      <c r="BH40" s="1080"/>
      <c r="BI40" s="1080"/>
      <c r="BJ40" s="1080"/>
      <c r="BK40" s="1080"/>
      <c r="BL40" s="1080"/>
    </row>
    <row r="41" spans="1:64" ht="18" customHeight="1">
      <c r="A41" s="976">
        <f>IF(B41&gt;0,"./. Werbungskosten",0)</f>
        <v>0</v>
      </c>
      <c r="B41" s="977">
        <f>SUM(C41:I41)</f>
        <v>0</v>
      </c>
      <c r="C41" s="522">
        <f>IF(C24&gt;1000,MAX(Zusatzeingaben!C261,1000),C24)</f>
        <v>0</v>
      </c>
      <c r="D41" s="522">
        <f>IF(D24&gt;1000,MAX(Zusatzeingaben!D261,1000),D24)</f>
        <v>0</v>
      </c>
      <c r="E41" s="522">
        <f>IF(E24&gt;1000,MAX(Zusatzeingaben!E261,1000),E24)</f>
        <v>0</v>
      </c>
      <c r="F41" s="522">
        <f>IF(F24&gt;1000,MAX(Zusatzeingaben!F261,1000),F24)</f>
        <v>0</v>
      </c>
      <c r="G41" s="522">
        <f>IF(G24&gt;1000,MAX(Zusatzeingaben!G261,1000),G24)</f>
        <v>0</v>
      </c>
      <c r="H41" s="522">
        <f>IF(H24&gt;1000,MAX(Zusatzeingaben!H261,1000),H24)</f>
        <v>0</v>
      </c>
      <c r="I41" s="523">
        <f>IF(I24&gt;1000,MAX(Zusatzeingaben!I261,1000),I24)</f>
        <v>0</v>
      </c>
      <c r="J41" s="1080"/>
      <c r="K41" s="1080"/>
      <c r="L41" s="1080"/>
      <c r="M41" s="1080"/>
      <c r="N41" s="1080"/>
      <c r="O41" s="1080"/>
      <c r="P41" s="1080"/>
      <c r="Q41" s="1080"/>
      <c r="R41" s="1080"/>
      <c r="S41" s="1080"/>
      <c r="T41" s="1080"/>
      <c r="U41" s="1080"/>
      <c r="V41" s="1080"/>
      <c r="W41" s="1080"/>
      <c r="X41" s="1080"/>
      <c r="Y41" s="1080"/>
      <c r="Z41" s="1080"/>
      <c r="AA41" s="1080"/>
      <c r="AB41" s="1080"/>
      <c r="AC41" s="1080"/>
      <c r="AD41" s="1080"/>
      <c r="AE41" s="1080"/>
      <c r="AF41" s="1080"/>
      <c r="AG41" s="1080"/>
      <c r="AH41" s="1080"/>
      <c r="AI41" s="1080"/>
      <c r="AJ41" s="1080"/>
      <c r="AK41" s="1080"/>
      <c r="AL41" s="1080"/>
      <c r="AM41" s="1080"/>
      <c r="AN41" s="1080"/>
      <c r="AO41" s="1080"/>
      <c r="AP41" s="1080"/>
      <c r="AQ41" s="1080"/>
      <c r="AR41" s="1080"/>
      <c r="AS41" s="1080"/>
      <c r="AT41" s="1080"/>
      <c r="AU41" s="1080"/>
      <c r="AV41" s="1080"/>
      <c r="AW41" s="1080"/>
      <c r="AX41" s="1080"/>
      <c r="AY41" s="1080"/>
      <c r="AZ41" s="1080"/>
      <c r="BA41" s="1080"/>
      <c r="BB41" s="1080"/>
      <c r="BC41" s="1080"/>
      <c r="BD41" s="1080"/>
      <c r="BE41" s="1080"/>
      <c r="BF41" s="1080"/>
      <c r="BG41" s="1080"/>
      <c r="BH41" s="1080"/>
      <c r="BI41" s="1080"/>
      <c r="BJ41" s="1080"/>
      <c r="BK41" s="1080"/>
      <c r="BL41" s="1080"/>
    </row>
    <row r="42" spans="1:64" ht="18" customHeight="1">
      <c r="A42" s="976">
        <f>IF(B42&gt;0,"./. Werbungskosten",0)</f>
        <v>0</v>
      </c>
      <c r="B42" s="977">
        <f>SUM(C42:I42)</f>
        <v>0</v>
      </c>
      <c r="C42" s="522">
        <f t="shared" ref="C42:I42" si="3">IF(C35&gt;0,MIN(C35,102),0)</f>
        <v>0</v>
      </c>
      <c r="D42" s="522">
        <f t="shared" si="3"/>
        <v>0</v>
      </c>
      <c r="E42" s="522">
        <f t="shared" si="3"/>
        <v>0</v>
      </c>
      <c r="F42" s="522">
        <f t="shared" si="3"/>
        <v>0</v>
      </c>
      <c r="G42" s="522">
        <f t="shared" si="3"/>
        <v>0</v>
      </c>
      <c r="H42" s="522">
        <f t="shared" si="3"/>
        <v>0</v>
      </c>
      <c r="I42" s="523">
        <f t="shared" si="3"/>
        <v>0</v>
      </c>
      <c r="J42" s="1080"/>
      <c r="K42" s="1080"/>
      <c r="L42" s="1080"/>
      <c r="M42" s="1080"/>
      <c r="N42" s="1080"/>
      <c r="O42" s="1080"/>
      <c r="P42" s="1080"/>
      <c r="Q42" s="1080"/>
      <c r="R42" s="1080"/>
      <c r="S42" s="1080"/>
      <c r="T42" s="1080"/>
      <c r="U42" s="1080"/>
      <c r="V42" s="1080"/>
      <c r="W42" s="1080"/>
      <c r="X42" s="1080"/>
      <c r="Y42" s="1080"/>
      <c r="Z42" s="1080"/>
      <c r="AA42" s="1080"/>
      <c r="AB42" s="1080"/>
      <c r="AC42" s="1080"/>
      <c r="AD42" s="1080"/>
      <c r="AE42" s="1080"/>
      <c r="AF42" s="1080"/>
      <c r="AG42" s="1080"/>
      <c r="AH42" s="1080"/>
      <c r="AI42" s="1080"/>
      <c r="AJ42" s="1080"/>
      <c r="AK42" s="1080"/>
      <c r="AL42" s="1080"/>
      <c r="AM42" s="1080"/>
      <c r="AN42" s="1080"/>
      <c r="AO42" s="1080"/>
      <c r="AP42" s="1080"/>
      <c r="AQ42" s="1080"/>
      <c r="AR42" s="1080"/>
      <c r="AS42" s="1080"/>
      <c r="AT42" s="1080"/>
      <c r="AU42" s="1080"/>
      <c r="AV42" s="1080"/>
      <c r="AW42" s="1080"/>
      <c r="AX42" s="1080"/>
      <c r="AY42" s="1080"/>
      <c r="AZ42" s="1080"/>
      <c r="BA42" s="1080"/>
      <c r="BB42" s="1080"/>
      <c r="BC42" s="1080"/>
      <c r="BD42" s="1080"/>
      <c r="BE42" s="1080"/>
      <c r="BF42" s="1080"/>
      <c r="BG42" s="1080"/>
      <c r="BH42" s="1080"/>
      <c r="BI42" s="1080"/>
      <c r="BJ42" s="1080"/>
      <c r="BK42" s="1080"/>
      <c r="BL42" s="1080"/>
    </row>
    <row r="43" spans="1:64" ht="18" customHeight="1">
      <c r="A43" s="976">
        <f>IF(B43&gt;0,"./. Kinderbetreuungskosten",0)</f>
        <v>0</v>
      </c>
      <c r="B43" s="977">
        <f>SUM(C43:I43)</f>
        <v>0</v>
      </c>
      <c r="C43" s="522">
        <f>Zusatzeingaben!C281</f>
        <v>0</v>
      </c>
      <c r="D43" s="522">
        <f>Zusatzeingaben!D281</f>
        <v>0</v>
      </c>
      <c r="E43" s="522"/>
      <c r="F43" s="522"/>
      <c r="G43" s="522"/>
      <c r="H43" s="522"/>
      <c r="I43" s="523"/>
      <c r="J43" s="1080"/>
      <c r="K43" s="1080"/>
      <c r="L43" s="1080"/>
      <c r="M43" s="1080"/>
      <c r="N43" s="1080"/>
      <c r="O43" s="1080"/>
      <c r="P43" s="1080"/>
      <c r="Q43" s="1080"/>
      <c r="R43" s="1080"/>
      <c r="S43" s="1080"/>
      <c r="T43" s="1080"/>
      <c r="U43" s="1080"/>
      <c r="V43" s="1080"/>
      <c r="W43" s="1080"/>
      <c r="X43" s="1080"/>
      <c r="Y43" s="1080"/>
      <c r="Z43" s="1080"/>
      <c r="AA43" s="1080"/>
      <c r="AB43" s="1080"/>
      <c r="AC43" s="1080"/>
      <c r="AD43" s="1080"/>
      <c r="AE43" s="1080"/>
      <c r="AF43" s="1080"/>
      <c r="AG43" s="1080"/>
      <c r="AH43" s="1080"/>
      <c r="AI43" s="1080"/>
      <c r="AJ43" s="1080"/>
      <c r="AK43" s="1080"/>
      <c r="AL43" s="1080"/>
      <c r="AM43" s="1080"/>
      <c r="AN43" s="1080"/>
      <c r="AO43" s="1080"/>
      <c r="AP43" s="1080"/>
      <c r="AQ43" s="1080"/>
      <c r="AR43" s="1080"/>
      <c r="AS43" s="1080"/>
      <c r="AT43" s="1080"/>
      <c r="AU43" s="1080"/>
      <c r="AV43" s="1080"/>
      <c r="AW43" s="1080"/>
      <c r="AX43" s="1080"/>
      <c r="AY43" s="1080"/>
      <c r="AZ43" s="1080"/>
      <c r="BA43" s="1080"/>
      <c r="BB43" s="1080"/>
      <c r="BC43" s="1080"/>
      <c r="BD43" s="1080"/>
      <c r="BE43" s="1080"/>
      <c r="BF43" s="1080"/>
      <c r="BG43" s="1080"/>
      <c r="BH43" s="1080"/>
      <c r="BI43" s="1080"/>
      <c r="BJ43" s="1080"/>
      <c r="BK43" s="1080"/>
      <c r="BL43" s="1080"/>
    </row>
    <row r="44" spans="1:64" ht="18" customHeight="1">
      <c r="A44" s="976"/>
      <c r="B44" s="522"/>
      <c r="C44" s="522">
        <f>C39-C41-C42-C43</f>
        <v>0</v>
      </c>
      <c r="D44" s="522">
        <f>D39-D41-D42-D43</f>
        <v>0</v>
      </c>
      <c r="E44" s="522">
        <f>E39-E41-E42</f>
        <v>0</v>
      </c>
      <c r="F44" s="522">
        <f>F39-F41-F42</f>
        <v>0</v>
      </c>
      <c r="G44" s="522">
        <f>G39-G41-G42</f>
        <v>0</v>
      </c>
      <c r="H44" s="522">
        <f>H39-H41-H42</f>
        <v>0</v>
      </c>
      <c r="I44" s="523">
        <f>I39-I41-I42</f>
        <v>0</v>
      </c>
      <c r="J44" s="1080"/>
      <c r="K44" s="1080"/>
      <c r="L44" s="1080"/>
      <c r="M44" s="1080"/>
      <c r="N44" s="1080"/>
      <c r="O44" s="1080"/>
      <c r="P44" s="1080"/>
      <c r="Q44" s="1080"/>
      <c r="R44" s="1080"/>
      <c r="S44" s="1080"/>
      <c r="T44" s="1080"/>
      <c r="U44" s="1080"/>
      <c r="V44" s="1080"/>
      <c r="W44" s="1080"/>
      <c r="X44" s="1080"/>
      <c r="Y44" s="1080"/>
      <c r="Z44" s="1080"/>
      <c r="AA44" s="1080"/>
      <c r="AB44" s="1080"/>
      <c r="AC44" s="1080"/>
      <c r="AD44" s="1080"/>
      <c r="AE44" s="1080"/>
      <c r="AF44" s="1080"/>
      <c r="AG44" s="1080"/>
      <c r="AH44" s="1080"/>
      <c r="AI44" s="1080"/>
      <c r="AJ44" s="1080"/>
      <c r="AK44" s="1080"/>
      <c r="AL44" s="1080"/>
      <c r="AM44" s="1080"/>
      <c r="AN44" s="1080"/>
      <c r="AO44" s="1080"/>
      <c r="AP44" s="1080"/>
      <c r="AQ44" s="1080"/>
      <c r="AR44" s="1080"/>
      <c r="AS44" s="1080"/>
      <c r="AT44" s="1080"/>
      <c r="AU44" s="1080"/>
      <c r="AV44" s="1080"/>
      <c r="AW44" s="1080"/>
      <c r="AX44" s="1080"/>
      <c r="AY44" s="1080"/>
      <c r="AZ44" s="1080"/>
      <c r="BA44" s="1080"/>
      <c r="BB44" s="1080"/>
      <c r="BC44" s="1080"/>
      <c r="BD44" s="1080"/>
      <c r="BE44" s="1080"/>
      <c r="BF44" s="1080"/>
      <c r="BG44" s="1080"/>
      <c r="BH44" s="1080"/>
      <c r="BI44" s="1080"/>
      <c r="BJ44" s="1080"/>
      <c r="BK44" s="1080"/>
      <c r="BL44" s="1080"/>
    </row>
    <row r="45" spans="1:64" ht="18" customHeight="1">
      <c r="A45" s="1022">
        <f>IF(B45&gt;0,"./. Betrag nach § 16 WoGG",0)</f>
        <v>0</v>
      </c>
      <c r="B45" s="1023">
        <f t="shared" ref="B45:B50" si="4">SUM(C45:I45)</f>
        <v>0</v>
      </c>
      <c r="C45" s="1024">
        <f>C44*Zusatzeingaben!C275</f>
        <v>0</v>
      </c>
      <c r="D45" s="1024">
        <f>D44*Zusatzeingaben!D275</f>
        <v>0</v>
      </c>
      <c r="E45" s="1024">
        <f>E44*Zusatzeingaben!E275</f>
        <v>0</v>
      </c>
      <c r="F45" s="1024">
        <f>F44*Zusatzeingaben!F275</f>
        <v>0</v>
      </c>
      <c r="G45" s="1024">
        <f>G44*Zusatzeingaben!G275</f>
        <v>0</v>
      </c>
      <c r="H45" s="1024">
        <f>H44*Zusatzeingaben!H275</f>
        <v>0</v>
      </c>
      <c r="I45" s="1025">
        <f>I44*Zusatzeingaben!I275</f>
        <v>0</v>
      </c>
      <c r="J45" s="1080"/>
      <c r="K45" s="1080"/>
      <c r="L45" s="1080"/>
      <c r="M45" s="1080"/>
      <c r="N45" s="1080"/>
      <c r="O45" s="1080"/>
      <c r="P45" s="1080"/>
      <c r="Q45" s="1080"/>
      <c r="R45" s="1080"/>
      <c r="S45" s="1080"/>
      <c r="T45" s="1080"/>
      <c r="U45" s="1080"/>
      <c r="V45" s="1080"/>
      <c r="W45" s="1080"/>
      <c r="X45" s="1080"/>
      <c r="Y45" s="1080"/>
      <c r="Z45" s="1080"/>
      <c r="AA45" s="1080"/>
      <c r="AB45" s="1080"/>
      <c r="AC45" s="1080"/>
      <c r="AD45" s="1080"/>
      <c r="AE45" s="1080"/>
      <c r="AF45" s="1080"/>
      <c r="AG45" s="1080"/>
      <c r="AH45" s="1080"/>
      <c r="AI45" s="1080"/>
      <c r="AJ45" s="1080"/>
      <c r="AK45" s="1080"/>
      <c r="AL45" s="1080"/>
      <c r="AM45" s="1080"/>
      <c r="AN45" s="1080"/>
      <c r="AO45" s="1080"/>
      <c r="AP45" s="1080"/>
      <c r="AQ45" s="1080"/>
      <c r="AR45" s="1080"/>
      <c r="AS45" s="1080"/>
      <c r="AT45" s="1080"/>
      <c r="AU45" s="1080"/>
      <c r="AV45" s="1080"/>
      <c r="AW45" s="1080"/>
      <c r="AX45" s="1080"/>
      <c r="AY45" s="1080"/>
      <c r="AZ45" s="1080"/>
      <c r="BA45" s="1080"/>
      <c r="BB45" s="1080"/>
      <c r="BC45" s="1080"/>
      <c r="BD45" s="1080"/>
      <c r="BE45" s="1080"/>
      <c r="BF45" s="1080"/>
      <c r="BG45" s="1080"/>
      <c r="BH45" s="1080"/>
      <c r="BI45" s="1080"/>
      <c r="BJ45" s="1080"/>
      <c r="BK45" s="1080"/>
      <c r="BL45" s="1080"/>
    </row>
    <row r="46" spans="1:64" ht="18" customHeight="1">
      <c r="A46" s="1045" t="s">
        <v>2199</v>
      </c>
      <c r="B46" s="1046">
        <f t="shared" si="4"/>
        <v>0</v>
      </c>
      <c r="C46" s="507">
        <f t="shared" ref="C46:I46" si="5">IF(C39-C41-C42-C43-C45&lt;0,0,C39-C41-C42-C43-C45)</f>
        <v>0</v>
      </c>
      <c r="D46" s="507">
        <f t="shared" si="5"/>
        <v>0</v>
      </c>
      <c r="E46" s="507">
        <f t="shared" si="5"/>
        <v>0</v>
      </c>
      <c r="F46" s="507">
        <f t="shared" si="5"/>
        <v>0</v>
      </c>
      <c r="G46" s="507">
        <f t="shared" si="5"/>
        <v>0</v>
      </c>
      <c r="H46" s="507">
        <f t="shared" si="5"/>
        <v>0</v>
      </c>
      <c r="I46" s="508">
        <f t="shared" si="5"/>
        <v>0</v>
      </c>
      <c r="J46" s="1080"/>
      <c r="K46" s="1080"/>
      <c r="L46" s="1080"/>
      <c r="M46" s="1080"/>
      <c r="N46" s="1080"/>
      <c r="O46" s="1080"/>
      <c r="P46" s="1080"/>
      <c r="Q46" s="1080"/>
      <c r="R46" s="1080"/>
      <c r="S46" s="1080"/>
      <c r="T46" s="1080"/>
      <c r="U46" s="1080"/>
      <c r="V46" s="1080"/>
      <c r="W46" s="1080"/>
      <c r="X46" s="1080"/>
      <c r="Y46" s="1080"/>
      <c r="Z46" s="1080"/>
      <c r="AA46" s="1080"/>
      <c r="AB46" s="1080"/>
      <c r="AC46" s="1080"/>
      <c r="AD46" s="1080"/>
      <c r="AE46" s="1080"/>
      <c r="AF46" s="1080"/>
      <c r="AG46" s="1080"/>
      <c r="AH46" s="1080"/>
      <c r="AI46" s="1080"/>
      <c r="AJ46" s="1080"/>
      <c r="AK46" s="1080"/>
      <c r="AL46" s="1080"/>
      <c r="AM46" s="1080"/>
      <c r="AN46" s="1080"/>
      <c r="AO46" s="1080"/>
      <c r="AP46" s="1080"/>
      <c r="AQ46" s="1080"/>
      <c r="AR46" s="1080"/>
      <c r="AS46" s="1080"/>
      <c r="AT46" s="1080"/>
      <c r="AU46" s="1080"/>
      <c r="AV46" s="1080"/>
      <c r="AW46" s="1080"/>
      <c r="AX46" s="1080"/>
      <c r="AY46" s="1080"/>
      <c r="AZ46" s="1080"/>
      <c r="BA46" s="1080"/>
      <c r="BB46" s="1080"/>
      <c r="BC46" s="1080"/>
      <c r="BD46" s="1080"/>
      <c r="BE46" s="1080"/>
      <c r="BF46" s="1080"/>
      <c r="BG46" s="1080"/>
      <c r="BH46" s="1080"/>
      <c r="BI46" s="1080"/>
      <c r="BJ46" s="1080"/>
      <c r="BK46" s="1080"/>
      <c r="BL46" s="1080"/>
    </row>
    <row r="47" spans="1:64" ht="18" customHeight="1">
      <c r="A47" s="976">
        <f>IF(B47&gt;0,"./. Freibetrag Schwerbehinderung",0)</f>
        <v>0</v>
      </c>
      <c r="B47" s="977">
        <f t="shared" si="4"/>
        <v>0</v>
      </c>
      <c r="C47" s="522">
        <f>Zusatzeingaben!C279</f>
        <v>0</v>
      </c>
      <c r="D47" s="522">
        <f>Zusatzeingaben!D279</f>
        <v>0</v>
      </c>
      <c r="E47" s="522">
        <f>Zusatzeingaben!E279</f>
        <v>0</v>
      </c>
      <c r="F47" s="522">
        <f>Zusatzeingaben!F279</f>
        <v>0</v>
      </c>
      <c r="G47" s="522">
        <f>Zusatzeingaben!G279</f>
        <v>0</v>
      </c>
      <c r="H47" s="522">
        <f>Zusatzeingaben!H279</f>
        <v>0</v>
      </c>
      <c r="I47" s="523">
        <f>Zusatzeingaben!I279</f>
        <v>0</v>
      </c>
      <c r="J47" s="1080"/>
      <c r="K47" s="1080"/>
      <c r="L47" s="1080"/>
      <c r="M47" s="1080"/>
      <c r="N47" s="1080"/>
      <c r="O47" s="1080"/>
      <c r="P47" s="1080"/>
      <c r="Q47" s="1080"/>
      <c r="R47" s="1080"/>
      <c r="S47" s="1080"/>
      <c r="T47" s="1080"/>
      <c r="U47" s="1080"/>
      <c r="V47" s="1080"/>
      <c r="W47" s="1080"/>
      <c r="X47" s="1080"/>
      <c r="Y47" s="1080"/>
      <c r="Z47" s="1080"/>
      <c r="AA47" s="1080"/>
      <c r="AB47" s="1080"/>
      <c r="AC47" s="1080"/>
      <c r="AD47" s="1080"/>
      <c r="AE47" s="1080"/>
      <c r="AF47" s="1080"/>
      <c r="AG47" s="1080"/>
      <c r="AH47" s="1080"/>
      <c r="AI47" s="1080"/>
      <c r="AJ47" s="1080"/>
      <c r="AK47" s="1080"/>
      <c r="AL47" s="1080"/>
      <c r="AM47" s="1080"/>
      <c r="AN47" s="1080"/>
      <c r="AO47" s="1080"/>
      <c r="AP47" s="1080"/>
      <c r="AQ47" s="1080"/>
      <c r="AR47" s="1080"/>
      <c r="AS47" s="1080"/>
      <c r="AT47" s="1080"/>
      <c r="AU47" s="1080"/>
      <c r="AV47" s="1080"/>
      <c r="AW47" s="1080"/>
      <c r="AX47" s="1080"/>
      <c r="AY47" s="1080"/>
      <c r="AZ47" s="1080"/>
      <c r="BA47" s="1080"/>
      <c r="BB47" s="1080"/>
      <c r="BC47" s="1080"/>
      <c r="BD47" s="1080"/>
      <c r="BE47" s="1080"/>
      <c r="BF47" s="1080"/>
      <c r="BG47" s="1080"/>
      <c r="BH47" s="1080"/>
      <c r="BI47" s="1080"/>
      <c r="BJ47" s="1080"/>
      <c r="BK47" s="1080"/>
      <c r="BL47" s="1080"/>
    </row>
    <row r="48" spans="1:64" ht="18" customHeight="1">
      <c r="A48" s="976">
        <f>IF(B48&gt;0,"./. Freibetrag Alleinerziehung",0)</f>
        <v>0</v>
      </c>
      <c r="B48" s="977">
        <f t="shared" si="4"/>
        <v>0</v>
      </c>
      <c r="C48" s="522">
        <f>IF(Zusatzeingaben!B46&gt;0,1320,0)</f>
        <v>0</v>
      </c>
      <c r="D48" s="522"/>
      <c r="E48" s="522"/>
      <c r="F48" s="522"/>
      <c r="G48" s="522"/>
      <c r="H48" s="522"/>
      <c r="I48" s="523"/>
      <c r="J48" s="1080"/>
      <c r="K48" s="1080"/>
      <c r="L48" s="1080"/>
      <c r="M48" s="1080"/>
      <c r="N48" s="1080"/>
      <c r="O48" s="1080"/>
      <c r="P48" s="1080"/>
      <c r="Q48" s="1080"/>
      <c r="R48" s="1080"/>
      <c r="S48" s="1080"/>
      <c r="T48" s="1080"/>
      <c r="U48" s="1080"/>
      <c r="V48" s="1080"/>
      <c r="W48" s="1080"/>
      <c r="X48" s="1080"/>
      <c r="Y48" s="1080"/>
      <c r="Z48" s="1080"/>
      <c r="AA48" s="1080"/>
      <c r="AB48" s="1080"/>
      <c r="AC48" s="1080"/>
      <c r="AD48" s="1080"/>
      <c r="AE48" s="1080"/>
      <c r="AF48" s="1080"/>
      <c r="AG48" s="1080"/>
      <c r="AH48" s="1080"/>
      <c r="AI48" s="1080"/>
      <c r="AJ48" s="1080"/>
      <c r="AK48" s="1080"/>
      <c r="AL48" s="1080"/>
      <c r="AM48" s="1080"/>
      <c r="AN48" s="1080"/>
      <c r="AO48" s="1080"/>
      <c r="AP48" s="1080"/>
      <c r="AQ48" s="1080"/>
      <c r="AR48" s="1080"/>
      <c r="AS48" s="1080"/>
      <c r="AT48" s="1080"/>
      <c r="AU48" s="1080"/>
      <c r="AV48" s="1080"/>
      <c r="AW48" s="1080"/>
      <c r="AX48" s="1080"/>
      <c r="AY48" s="1080"/>
      <c r="AZ48" s="1080"/>
      <c r="BA48" s="1080"/>
      <c r="BB48" s="1080"/>
      <c r="BC48" s="1080"/>
      <c r="BD48" s="1080"/>
      <c r="BE48" s="1080"/>
      <c r="BF48" s="1080"/>
      <c r="BG48" s="1080"/>
      <c r="BH48" s="1080"/>
      <c r="BI48" s="1080"/>
      <c r="BJ48" s="1080"/>
      <c r="BK48" s="1080"/>
      <c r="BL48" s="1080"/>
    </row>
    <row r="49" spans="1:64" ht="18" customHeight="1">
      <c r="A49" s="976">
        <f>IF(B49&gt;0,"./. Erwerbstätigenfreibetrag Kind unter 25",0)</f>
        <v>0</v>
      </c>
      <c r="B49" s="977">
        <f t="shared" si="4"/>
        <v>0</v>
      </c>
      <c r="C49" s="522"/>
      <c r="D49" s="522"/>
      <c r="E49" s="522">
        <f>IF(E24+E25&gt;0,MIN(E24+E25-E41,1200),0)</f>
        <v>0</v>
      </c>
      <c r="F49" s="522">
        <f>IF(F24+F25&gt;0,MIN(F24+F25-F41,1200),0)</f>
        <v>0</v>
      </c>
      <c r="G49" s="522">
        <f>IF(G24+G25&gt;0,MIN(G24+G25-G41,1200),0)</f>
        <v>0</v>
      </c>
      <c r="H49" s="522">
        <f>IF(H24+H25&gt;0,MIN(H24+H25-H41,1200),0)</f>
        <v>0</v>
      </c>
      <c r="I49" s="523">
        <f>IF(I24+I25&gt;0,MIN(I24+I25-I41,1200),0)</f>
        <v>0</v>
      </c>
      <c r="J49" s="1080"/>
      <c r="K49" s="1080"/>
      <c r="L49" s="1080"/>
      <c r="M49" s="1080"/>
      <c r="N49" s="1080"/>
      <c r="O49" s="1080"/>
      <c r="P49" s="1080"/>
      <c r="Q49" s="1080"/>
      <c r="R49" s="1080"/>
      <c r="S49" s="1080"/>
      <c r="T49" s="1080"/>
      <c r="U49" s="1080"/>
      <c r="V49" s="1080"/>
      <c r="W49" s="1080"/>
      <c r="X49" s="1080"/>
      <c r="Y49" s="1080"/>
      <c r="Z49" s="1080"/>
      <c r="AA49" s="1080"/>
      <c r="AB49" s="1080"/>
      <c r="AC49" s="1080"/>
      <c r="AD49" s="1080"/>
      <c r="AE49" s="1080"/>
      <c r="AF49" s="1080"/>
      <c r="AG49" s="1080"/>
      <c r="AH49" s="1080"/>
      <c r="AI49" s="1080"/>
      <c r="AJ49" s="1080"/>
      <c r="AK49" s="1080"/>
      <c r="AL49" s="1080"/>
      <c r="AM49" s="1080"/>
      <c r="AN49" s="1080"/>
      <c r="AO49" s="1080"/>
      <c r="AP49" s="1080"/>
      <c r="AQ49" s="1080"/>
      <c r="AR49" s="1080"/>
      <c r="AS49" s="1080"/>
      <c r="AT49" s="1080"/>
      <c r="AU49" s="1080"/>
      <c r="AV49" s="1080"/>
      <c r="AW49" s="1080"/>
      <c r="AX49" s="1080"/>
      <c r="AY49" s="1080"/>
      <c r="AZ49" s="1080"/>
      <c r="BA49" s="1080"/>
      <c r="BB49" s="1080"/>
      <c r="BC49" s="1080"/>
      <c r="BD49" s="1080"/>
      <c r="BE49" s="1080"/>
      <c r="BF49" s="1080"/>
      <c r="BG49" s="1080"/>
      <c r="BH49" s="1080"/>
      <c r="BI49" s="1080"/>
      <c r="BJ49" s="1080"/>
      <c r="BK49" s="1080"/>
      <c r="BL49" s="1080"/>
    </row>
    <row r="50" spans="1:64" ht="18" customHeight="1">
      <c r="A50" s="1022">
        <f>IF(B50&gt;0,"./. Unterhaltsverpflichtungen",0)</f>
        <v>0</v>
      </c>
      <c r="B50" s="1023">
        <f t="shared" si="4"/>
        <v>0</v>
      </c>
      <c r="C50" s="1024">
        <f>Zusatzeingaben!C219</f>
        <v>0</v>
      </c>
      <c r="D50" s="1024">
        <f>Zusatzeingaben!D219</f>
        <v>0</v>
      </c>
      <c r="E50" s="1024"/>
      <c r="F50" s="1024"/>
      <c r="G50" s="1024"/>
      <c r="H50" s="1024"/>
      <c r="I50" s="1025"/>
      <c r="J50" s="1080"/>
      <c r="K50" s="1080"/>
      <c r="L50" s="1080"/>
      <c r="M50" s="1080"/>
      <c r="N50" s="1080"/>
      <c r="O50" s="1080"/>
      <c r="P50" s="1080"/>
      <c r="Q50" s="1080"/>
      <c r="R50" s="1080"/>
      <c r="S50" s="1080"/>
      <c r="T50" s="1080"/>
      <c r="U50" s="1080"/>
      <c r="V50" s="1080"/>
      <c r="W50" s="1080"/>
      <c r="X50" s="1080"/>
      <c r="Y50" s="1080"/>
      <c r="Z50" s="1080"/>
      <c r="AA50" s="1080"/>
      <c r="AB50" s="1080"/>
      <c r="AC50" s="1080"/>
      <c r="AD50" s="1080"/>
      <c r="AE50" s="1080"/>
      <c r="AF50" s="1080"/>
      <c r="AG50" s="1080"/>
      <c r="AH50" s="1080"/>
      <c r="AI50" s="1080"/>
      <c r="AJ50" s="1080"/>
      <c r="AK50" s="1080"/>
      <c r="AL50" s="1080"/>
      <c r="AM50" s="1080"/>
      <c r="AN50" s="1080"/>
      <c r="AO50" s="1080"/>
      <c r="AP50" s="1080"/>
      <c r="AQ50" s="1080"/>
      <c r="AR50" s="1080"/>
      <c r="AS50" s="1080"/>
      <c r="AT50" s="1080"/>
      <c r="AU50" s="1080"/>
      <c r="AV50" s="1080"/>
      <c r="AW50" s="1080"/>
      <c r="AX50" s="1080"/>
      <c r="AY50" s="1080"/>
      <c r="AZ50" s="1080"/>
      <c r="BA50" s="1080"/>
      <c r="BB50" s="1080"/>
      <c r="BC50" s="1080"/>
      <c r="BD50" s="1080"/>
      <c r="BE50" s="1080"/>
      <c r="BF50" s="1080"/>
      <c r="BG50" s="1080"/>
      <c r="BH50" s="1080"/>
      <c r="BI50" s="1080"/>
      <c r="BJ50" s="1080"/>
      <c r="BK50" s="1080"/>
      <c r="BL50" s="1080"/>
    </row>
    <row r="51" spans="1:64" ht="21" customHeight="1">
      <c r="A51" s="1072" t="s">
        <v>2197</v>
      </c>
      <c r="B51" s="1073">
        <f>IF(B46-B47-B48-B49-B50&lt;0,0,B46-B47-B48-B49-B50)</f>
        <v>0</v>
      </c>
      <c r="C51" s="1074"/>
      <c r="D51" s="1074"/>
      <c r="E51" s="1074"/>
      <c r="F51" s="1074"/>
      <c r="G51" s="1074"/>
      <c r="H51" s="1074"/>
      <c r="I51" s="1075"/>
      <c r="J51" s="1080"/>
      <c r="K51" s="1080"/>
      <c r="L51" s="1080"/>
      <c r="M51" s="1080"/>
      <c r="N51" s="1080"/>
      <c r="O51" s="1080"/>
      <c r="P51" s="1080"/>
      <c r="Q51" s="1080"/>
      <c r="R51" s="1080"/>
      <c r="S51" s="1080"/>
      <c r="T51" s="1080"/>
      <c r="U51" s="1080"/>
      <c r="V51" s="1080"/>
      <c r="W51" s="1080"/>
      <c r="X51" s="1080"/>
      <c r="Y51" s="1080"/>
      <c r="Z51" s="1080"/>
      <c r="AA51" s="1080"/>
      <c r="AB51" s="1080"/>
      <c r="AC51" s="1080"/>
      <c r="AD51" s="1080"/>
      <c r="AE51" s="1080"/>
      <c r="AF51" s="1080"/>
      <c r="AG51" s="1080"/>
      <c r="AH51" s="1080"/>
      <c r="AI51" s="1080"/>
      <c r="AJ51" s="1080"/>
      <c r="AK51" s="1080"/>
      <c r="AL51" s="1080"/>
      <c r="AM51" s="1080"/>
      <c r="AN51" s="1080"/>
      <c r="AO51" s="1080"/>
      <c r="AP51" s="1080"/>
      <c r="AQ51" s="1080"/>
      <c r="AR51" s="1080"/>
      <c r="AS51" s="1080"/>
      <c r="AT51" s="1080"/>
      <c r="AU51" s="1080"/>
      <c r="AV51" s="1080"/>
      <c r="AW51" s="1080"/>
      <c r="AX51" s="1080"/>
      <c r="AY51" s="1080"/>
      <c r="AZ51" s="1080"/>
      <c r="BA51" s="1080"/>
      <c r="BB51" s="1080"/>
      <c r="BC51" s="1080"/>
      <c r="BD51" s="1080"/>
      <c r="BE51" s="1080"/>
      <c r="BF51" s="1080"/>
      <c r="BG51" s="1080"/>
      <c r="BH51" s="1080"/>
      <c r="BI51" s="1080"/>
      <c r="BJ51" s="1080"/>
      <c r="BK51" s="1080"/>
      <c r="BL51" s="1080"/>
    </row>
    <row r="52" spans="1:64" ht="21" customHeight="1">
      <c r="A52" s="1077" t="s">
        <v>2200</v>
      </c>
      <c r="B52" s="1078">
        <f>B51/12</f>
        <v>0</v>
      </c>
      <c r="C52" s="961"/>
      <c r="D52" s="961"/>
      <c r="E52" s="961"/>
      <c r="F52" s="961"/>
      <c r="G52" s="961"/>
      <c r="H52" s="961"/>
      <c r="I52" s="962"/>
      <c r="J52" s="1080"/>
      <c r="K52" s="1080"/>
      <c r="L52" s="1080"/>
      <c r="M52" s="1080"/>
      <c r="N52" s="1080"/>
      <c r="O52" s="1080"/>
      <c r="P52" s="1080"/>
      <c r="Q52" s="1080"/>
      <c r="R52" s="1080"/>
      <c r="S52" s="1080"/>
      <c r="T52" s="1080"/>
      <c r="U52" s="1080"/>
      <c r="V52" s="1080"/>
      <c r="W52" s="1080"/>
      <c r="X52" s="1080"/>
      <c r="Y52" s="1080"/>
      <c r="Z52" s="1080"/>
      <c r="AA52" s="1080"/>
      <c r="AB52" s="1080"/>
      <c r="AC52" s="1080"/>
      <c r="AD52" s="1080"/>
      <c r="AE52" s="1080"/>
      <c r="AF52" s="1080"/>
      <c r="AG52" s="1080"/>
      <c r="AH52" s="1080"/>
      <c r="AI52" s="1080"/>
      <c r="AJ52" s="1080"/>
      <c r="AK52" s="1080"/>
      <c r="AL52" s="1080"/>
      <c r="AM52" s="1080"/>
      <c r="AN52" s="1080"/>
      <c r="AO52" s="1080"/>
      <c r="AP52" s="1080"/>
      <c r="AQ52" s="1080"/>
      <c r="AR52" s="1080"/>
      <c r="AS52" s="1080"/>
      <c r="AT52" s="1080"/>
      <c r="AU52" s="1080"/>
      <c r="AV52" s="1080"/>
      <c r="AW52" s="1080"/>
      <c r="AX52" s="1080"/>
      <c r="AY52" s="1080"/>
      <c r="AZ52" s="1080"/>
      <c r="BA52" s="1080"/>
      <c r="BB52" s="1080"/>
      <c r="BC52" s="1080"/>
      <c r="BD52" s="1080"/>
      <c r="BE52" s="1080"/>
      <c r="BF52" s="1080"/>
      <c r="BG52" s="1080"/>
      <c r="BH52" s="1080"/>
      <c r="BI52" s="1080"/>
      <c r="BJ52" s="1080"/>
      <c r="BK52" s="1080"/>
      <c r="BL52" s="1080"/>
    </row>
    <row r="53" spans="1:64" ht="30" customHeight="1">
      <c r="J53" s="1080"/>
      <c r="K53" s="1080"/>
      <c r="L53" s="1080"/>
      <c r="M53" s="1080"/>
      <c r="N53" s="1080"/>
      <c r="O53" s="1080"/>
      <c r="P53" s="1080"/>
      <c r="Q53" s="1080"/>
      <c r="R53" s="1080"/>
      <c r="S53" s="1080"/>
      <c r="T53" s="1080"/>
      <c r="U53" s="1080"/>
      <c r="V53" s="1080"/>
      <c r="W53" s="1080"/>
      <c r="X53" s="1080"/>
      <c r="Y53" s="1080"/>
      <c r="Z53" s="1080"/>
      <c r="AA53" s="1080"/>
      <c r="AB53" s="1080"/>
      <c r="AC53" s="1080"/>
      <c r="AD53" s="1080"/>
      <c r="AE53" s="1080"/>
      <c r="AF53" s="1080"/>
      <c r="AG53" s="1080"/>
      <c r="AH53" s="1080"/>
      <c r="AI53" s="1080"/>
      <c r="AJ53" s="1080"/>
      <c r="AK53" s="1080"/>
      <c r="AL53" s="1080"/>
      <c r="AM53" s="1080"/>
      <c r="AN53" s="1080"/>
      <c r="AO53" s="1080"/>
      <c r="AP53" s="1080"/>
      <c r="AQ53" s="1080"/>
      <c r="AR53" s="1080"/>
      <c r="AS53" s="1080"/>
      <c r="AT53" s="1080"/>
      <c r="AU53" s="1080"/>
      <c r="AV53" s="1080"/>
      <c r="AW53" s="1080"/>
      <c r="AX53" s="1080"/>
      <c r="AY53" s="1080"/>
      <c r="AZ53" s="1080"/>
      <c r="BA53" s="1080"/>
      <c r="BB53" s="1080"/>
      <c r="BC53" s="1080"/>
      <c r="BD53" s="1080"/>
      <c r="BE53" s="1080"/>
      <c r="BF53" s="1080"/>
      <c r="BG53" s="1080"/>
      <c r="BH53" s="1080"/>
      <c r="BI53" s="1080"/>
      <c r="BJ53" s="1080"/>
      <c r="BK53" s="1080"/>
      <c r="BL53" s="1080"/>
    </row>
    <row r="54" spans="1:64" ht="24.95" customHeight="1">
      <c r="A54" s="1977" t="s">
        <v>2201</v>
      </c>
      <c r="B54" s="1977"/>
      <c r="C54" s="1977"/>
      <c r="D54" s="1977"/>
      <c r="E54" s="1977"/>
      <c r="F54" s="1977"/>
      <c r="G54" s="1977"/>
      <c r="H54" s="1977"/>
      <c r="I54" s="1977"/>
    </row>
    <row r="55" spans="1:64" ht="17.25" customHeight="1">
      <c r="A55" s="1094"/>
      <c r="B55" s="1095"/>
      <c r="C55" s="1096"/>
      <c r="D55" s="1096"/>
      <c r="E55" s="1096"/>
      <c r="F55" s="1096"/>
      <c r="G55" s="1096"/>
      <c r="H55" s="1096"/>
      <c r="I55" s="1097"/>
    </row>
    <row r="56" spans="1:64" ht="24.95" customHeight="1">
      <c r="A56" s="1270" t="s">
        <v>2173</v>
      </c>
      <c r="B56" s="1271" t="str">
        <f>IF(OR(D82&lt;=0,B20=0),"0,00 €",D82)</f>
        <v>0,00 €</v>
      </c>
      <c r="C56" s="1272"/>
      <c r="D56" s="1272"/>
      <c r="E56" s="1272"/>
      <c r="F56" s="1272"/>
      <c r="G56" s="1272"/>
      <c r="H56" s="1272"/>
      <c r="I56" s="1273"/>
    </row>
    <row r="57" spans="1:64" ht="15" customHeight="1">
      <c r="A57" s="1274"/>
    </row>
    <row r="58" spans="1:64" ht="14.25" customHeight="1">
      <c r="B58" s="1275">
        <f>IF(OR(D82&lt;=0,B20=0),0,D82)</f>
        <v>0</v>
      </c>
      <c r="K58" s="834"/>
    </row>
    <row r="59" spans="1:64" ht="18">
      <c r="A59" s="1276" t="s">
        <v>2202</v>
      </c>
      <c r="B59" s="1260"/>
      <c r="C59" s="818"/>
      <c r="D59" s="818"/>
      <c r="K59" s="1277"/>
      <c r="L59" s="1277"/>
      <c r="M59" s="1278"/>
    </row>
    <row r="60" spans="1:64" ht="16.5" customHeight="1">
      <c r="A60" s="870">
        <f>YEAR(E3)</f>
        <v>2022</v>
      </c>
      <c r="B60" s="1279"/>
      <c r="C60" s="1280" t="s">
        <v>2203</v>
      </c>
      <c r="D60" s="1281" t="s">
        <v>2204</v>
      </c>
      <c r="E60" s="1282" t="s">
        <v>2205</v>
      </c>
      <c r="F60" s="1283"/>
      <c r="G60" s="1281" t="s">
        <v>2206</v>
      </c>
      <c r="H60" s="1282"/>
      <c r="K60" s="1277"/>
      <c r="L60" s="1277"/>
      <c r="M60" s="1278"/>
    </row>
    <row r="61" spans="1:64" ht="17.25" customHeight="1">
      <c r="A61" s="1266"/>
      <c r="B61" s="1284"/>
      <c r="C61" s="1265"/>
      <c r="D61" s="1285"/>
      <c r="E61" s="1286"/>
      <c r="F61" s="1287"/>
      <c r="G61" s="1285" t="s">
        <v>2207</v>
      </c>
      <c r="H61" s="1286" t="s">
        <v>2208</v>
      </c>
      <c r="K61" s="1277"/>
      <c r="L61" s="1277"/>
      <c r="M61" s="1278"/>
    </row>
    <row r="62" spans="1:64">
      <c r="A62" s="1266"/>
      <c r="B62" s="1288">
        <v>1</v>
      </c>
      <c r="C62" s="1289">
        <v>0.04</v>
      </c>
      <c r="D62" s="1290">
        <v>6.3000000000000003E-4</v>
      </c>
      <c r="E62" s="1291">
        <v>1.3799999999999999E-4</v>
      </c>
      <c r="F62" s="1288">
        <v>1</v>
      </c>
      <c r="G62" s="834">
        <v>48</v>
      </c>
      <c r="H62" s="1292">
        <v>239</v>
      </c>
      <c r="K62" s="1277"/>
      <c r="L62" s="1277"/>
      <c r="M62" s="1278"/>
    </row>
    <row r="63" spans="1:64">
      <c r="A63" s="1266"/>
      <c r="B63" s="1288">
        <v>2</v>
      </c>
      <c r="C63" s="1289">
        <v>0.03</v>
      </c>
      <c r="D63" s="1290">
        <v>4.4000000000000002E-4</v>
      </c>
      <c r="E63" s="1291">
        <v>1.03E-4</v>
      </c>
      <c r="F63" s="1288">
        <v>2</v>
      </c>
      <c r="G63" s="834">
        <v>59</v>
      </c>
      <c r="H63" s="1292">
        <v>310</v>
      </c>
      <c r="K63" s="1277"/>
      <c r="L63" s="1277"/>
      <c r="M63" s="1278"/>
    </row>
    <row r="64" spans="1:64">
      <c r="A64" s="1266"/>
      <c r="B64" s="1288">
        <v>3</v>
      </c>
      <c r="C64" s="1289">
        <v>0.02</v>
      </c>
      <c r="D64" s="1290">
        <v>3.8000000000000002E-4</v>
      </c>
      <c r="E64" s="1291">
        <v>8.2999999999999998E-5</v>
      </c>
      <c r="F64" s="1288">
        <v>3</v>
      </c>
      <c r="G64" s="834">
        <v>70</v>
      </c>
      <c r="H64" s="1292">
        <v>360</v>
      </c>
      <c r="K64" s="1277"/>
      <c r="L64" s="1277"/>
      <c r="M64" s="1278"/>
    </row>
    <row r="65" spans="1:13">
      <c r="A65" s="1266"/>
      <c r="B65" s="1288">
        <v>4</v>
      </c>
      <c r="C65" s="1289">
        <v>0.01</v>
      </c>
      <c r="D65" s="1290">
        <v>3.4000000000000002E-4</v>
      </c>
      <c r="E65" s="1291">
        <v>4.3000000000000002E-5</v>
      </c>
      <c r="F65" s="1288">
        <v>4</v>
      </c>
      <c r="G65" s="834">
        <v>81</v>
      </c>
      <c r="H65" s="1292">
        <v>389</v>
      </c>
      <c r="K65" s="1277"/>
      <c r="L65" s="1277"/>
      <c r="M65" s="1278"/>
    </row>
    <row r="66" spans="1:13">
      <c r="A66" s="1266"/>
      <c r="B66" s="1288">
        <v>5</v>
      </c>
      <c r="C66" s="1289">
        <v>0</v>
      </c>
      <c r="D66" s="1290">
        <v>2.9999999999999997E-4</v>
      </c>
      <c r="E66" s="1291">
        <v>4.1999999999999998E-5</v>
      </c>
      <c r="F66" s="1288">
        <v>5</v>
      </c>
      <c r="G66" s="834">
        <v>91</v>
      </c>
      <c r="H66" s="1292">
        <v>463</v>
      </c>
      <c r="K66" s="1277"/>
      <c r="L66" s="1277"/>
      <c r="M66" s="1278"/>
    </row>
    <row r="67" spans="1:13">
      <c r="A67" s="1266"/>
      <c r="B67" s="1288">
        <v>6</v>
      </c>
      <c r="C67" s="1289">
        <v>-0.01</v>
      </c>
      <c r="D67" s="1290">
        <v>2.7999999999999998E-4</v>
      </c>
      <c r="E67" s="1291">
        <v>3.6000000000000001E-5</v>
      </c>
      <c r="F67" s="1288">
        <v>6</v>
      </c>
      <c r="G67" s="834">
        <v>91</v>
      </c>
      <c r="H67" s="1292">
        <v>537</v>
      </c>
      <c r="K67" s="1277"/>
      <c r="L67" s="1277"/>
      <c r="M67" s="1278"/>
    </row>
    <row r="68" spans="1:13">
      <c r="A68" s="1266"/>
      <c r="B68" s="1293">
        <v>7</v>
      </c>
      <c r="C68" s="1294">
        <v>-0.02</v>
      </c>
      <c r="D68" s="1295">
        <v>2.5999999999999998E-4</v>
      </c>
      <c r="E68" s="1296">
        <v>3.6999999999999998E-5</v>
      </c>
      <c r="F68" s="1293">
        <v>7</v>
      </c>
      <c r="G68" s="1297">
        <v>102</v>
      </c>
      <c r="H68" s="1298">
        <v>610</v>
      </c>
      <c r="K68" s="1277"/>
      <c r="L68" s="1277"/>
      <c r="M68" s="1278"/>
    </row>
    <row r="69" spans="1:13">
      <c r="A69" s="1266"/>
      <c r="B69" s="818"/>
      <c r="C69" s="818"/>
      <c r="K69" s="1277"/>
      <c r="L69" s="1277"/>
      <c r="M69" s="1278"/>
    </row>
    <row r="70" spans="1:13">
      <c r="A70" s="1266"/>
      <c r="B70" s="818"/>
      <c r="C70" s="1299" t="s">
        <v>2203</v>
      </c>
      <c r="D70" s="1281" t="s">
        <v>2204</v>
      </c>
      <c r="E70" s="1282" t="s">
        <v>2205</v>
      </c>
      <c r="G70" s="1299" t="s">
        <v>2207</v>
      </c>
      <c r="H70" s="1282" t="s">
        <v>2208</v>
      </c>
      <c r="K70" s="1277"/>
      <c r="L70" s="1277"/>
      <c r="M70" s="1278"/>
    </row>
    <row r="71" spans="1:13">
      <c r="A71" s="1266"/>
      <c r="B71" s="818"/>
      <c r="C71" s="1300">
        <f>VLOOKUP($B$6,$B$62:C68,2)</f>
        <v>0.04</v>
      </c>
      <c r="D71" s="1301">
        <f>VLOOKUP($B$6,$B$62:D68,3)</f>
        <v>6.3000000000000003E-4</v>
      </c>
      <c r="E71" s="1302">
        <f>VLOOKUP($B$6,$B$62:E68,4)</f>
        <v>1.3799999999999999E-4</v>
      </c>
      <c r="G71" s="1303">
        <f>VLOOKUP($B$6,$F$62:G68,2)</f>
        <v>48</v>
      </c>
      <c r="H71" s="1304">
        <f>VLOOKUP($B$6,$F$62:H68,3)</f>
        <v>239</v>
      </c>
      <c r="K71" s="1277"/>
      <c r="L71" s="1277"/>
      <c r="M71" s="1278"/>
    </row>
    <row r="72" spans="1:13">
      <c r="A72" s="1266"/>
      <c r="B72" s="818"/>
      <c r="C72" s="818"/>
      <c r="K72" s="1277"/>
      <c r="L72" s="1277"/>
      <c r="M72" s="1278"/>
    </row>
    <row r="73" spans="1:13">
      <c r="A73" s="1266"/>
      <c r="B73" s="818"/>
      <c r="C73" s="818"/>
      <c r="G73" s="1283" t="s">
        <v>2209</v>
      </c>
      <c r="H73" s="1282" t="s">
        <v>2210</v>
      </c>
      <c r="K73" s="1277"/>
      <c r="L73" s="1277"/>
      <c r="M73" s="1278"/>
    </row>
    <row r="74" spans="1:13">
      <c r="A74" s="1266"/>
      <c r="B74" s="818"/>
      <c r="C74" s="818"/>
      <c r="G74" s="1305">
        <f>B20</f>
        <v>0</v>
      </c>
      <c r="H74" s="1306">
        <f>B52</f>
        <v>0</v>
      </c>
      <c r="K74" s="1277"/>
      <c r="L74" s="1277"/>
      <c r="M74" s="1278"/>
    </row>
    <row r="75" spans="1:13">
      <c r="A75" s="1266"/>
      <c r="B75" s="818"/>
      <c r="C75" s="818"/>
      <c r="K75" s="1277"/>
      <c r="L75" s="1277"/>
      <c r="M75" s="1278"/>
    </row>
    <row r="76" spans="1:13">
      <c r="A76" s="1266"/>
      <c r="B76" s="818"/>
      <c r="C76" s="818"/>
      <c r="G76" s="1307">
        <f>IF(G74&lt;G71,G71,G74)</f>
        <v>48</v>
      </c>
      <c r="H76" s="1307">
        <f>IF(H74&lt;H71,H71,H74)</f>
        <v>239</v>
      </c>
      <c r="K76" s="1277"/>
      <c r="L76" s="1277"/>
      <c r="M76" s="1278"/>
    </row>
    <row r="77" spans="1:13">
      <c r="A77" s="1266"/>
      <c r="B77" s="1260"/>
      <c r="C77" s="818"/>
      <c r="D77" s="818"/>
      <c r="K77" s="1277"/>
      <c r="L77" s="1277"/>
      <c r="M77" s="1278"/>
    </row>
    <row r="78" spans="1:13">
      <c r="A78" s="1266"/>
      <c r="B78" s="818" t="s">
        <v>2211</v>
      </c>
      <c r="C78" s="818"/>
      <c r="D78" s="1308">
        <f>C71+D71*G76+E71*H76</f>
        <v>0.10322199999999999</v>
      </c>
      <c r="K78" s="1277"/>
      <c r="L78" s="1277"/>
      <c r="M78" s="1278"/>
    </row>
    <row r="79" spans="1:13">
      <c r="A79" s="1266"/>
      <c r="B79" s="818" t="s">
        <v>2212</v>
      </c>
      <c r="C79" s="818"/>
      <c r="D79" s="1308">
        <f>D78*H76</f>
        <v>24.670057999999997</v>
      </c>
      <c r="K79" s="1277"/>
      <c r="L79" s="1277"/>
      <c r="M79" s="1278"/>
    </row>
    <row r="80" spans="1:13">
      <c r="A80" s="1266"/>
      <c r="B80" s="818" t="s">
        <v>2213</v>
      </c>
      <c r="C80" s="818"/>
      <c r="D80" s="1308">
        <f>G76-D79</f>
        <v>23.329942000000003</v>
      </c>
      <c r="K80" s="1277"/>
      <c r="L80" s="1277"/>
      <c r="M80" s="1278"/>
    </row>
    <row r="81" spans="1:13">
      <c r="A81" s="1266"/>
      <c r="B81" s="818" t="s">
        <v>2214</v>
      </c>
      <c r="C81" s="818"/>
      <c r="D81" s="1308">
        <f>1.15*D80</f>
        <v>26.829433300000002</v>
      </c>
      <c r="K81" s="1277"/>
      <c r="L81" s="1277"/>
      <c r="M81" s="1278"/>
    </row>
    <row r="82" spans="1:13">
      <c r="A82" s="1266"/>
      <c r="B82" s="1260"/>
      <c r="C82" s="818"/>
      <c r="D82" s="1309">
        <f>IF(ROUND(D81,0)&lt;10,0,ROUND(D81,0))</f>
        <v>27</v>
      </c>
      <c r="K82" s="1277"/>
      <c r="L82" s="1277"/>
      <c r="M82" s="1278"/>
    </row>
    <row r="83" spans="1:13">
      <c r="A83" s="1266"/>
      <c r="B83" s="1260"/>
      <c r="C83" s="818"/>
      <c r="D83" s="818"/>
      <c r="K83" s="1277"/>
      <c r="L83" s="1277"/>
      <c r="M83" s="1278"/>
    </row>
    <row r="84" spans="1:13">
      <c r="D84" s="952"/>
      <c r="K84" s="1277"/>
      <c r="L84" s="1277"/>
      <c r="M84" s="1278"/>
    </row>
    <row r="85" spans="1:13">
      <c r="A85" s="801" t="s">
        <v>18</v>
      </c>
      <c r="B85" s="801" t="s">
        <v>2215</v>
      </c>
      <c r="C85" s="801" t="s">
        <v>18</v>
      </c>
      <c r="D85" s="801" t="s">
        <v>2216</v>
      </c>
      <c r="E85" s="801" t="s">
        <v>18</v>
      </c>
      <c r="F85" s="801" t="s">
        <v>2217</v>
      </c>
      <c r="K85" s="1277"/>
      <c r="L85" s="1277"/>
      <c r="M85" s="1278"/>
    </row>
    <row r="86" spans="1:13">
      <c r="A86" s="801">
        <v>1</v>
      </c>
      <c r="B86" s="1014">
        <v>312</v>
      </c>
      <c r="C86" s="801">
        <v>1</v>
      </c>
      <c r="D86" s="1014">
        <v>351</v>
      </c>
      <c r="E86" s="801">
        <v>1</v>
      </c>
      <c r="F86" s="1014">
        <v>390</v>
      </c>
      <c r="K86" s="1277"/>
      <c r="L86" s="1277"/>
      <c r="M86" s="1278"/>
    </row>
    <row r="87" spans="1:13">
      <c r="A87" s="801">
        <v>2</v>
      </c>
      <c r="B87" s="1014">
        <v>378</v>
      </c>
      <c r="C87" s="801">
        <v>2</v>
      </c>
      <c r="D87" s="1014">
        <v>425</v>
      </c>
      <c r="E87" s="801">
        <v>2</v>
      </c>
      <c r="F87" s="1014">
        <v>473</v>
      </c>
      <c r="K87" s="1277"/>
      <c r="L87" s="1277"/>
      <c r="M87" s="1278"/>
    </row>
    <row r="88" spans="1:13">
      <c r="A88" s="801">
        <v>3</v>
      </c>
      <c r="B88" s="1014">
        <v>450</v>
      </c>
      <c r="C88" s="801">
        <v>3</v>
      </c>
      <c r="D88" s="1014">
        <v>506</v>
      </c>
      <c r="E88" s="801">
        <v>3</v>
      </c>
      <c r="F88" s="1014">
        <v>563</v>
      </c>
      <c r="K88" s="1277"/>
      <c r="L88" s="1277"/>
      <c r="M88" s="1278"/>
    </row>
    <row r="89" spans="1:13">
      <c r="A89" s="801">
        <v>4</v>
      </c>
      <c r="B89" s="1014">
        <v>525</v>
      </c>
      <c r="C89" s="801">
        <v>4</v>
      </c>
      <c r="D89" s="1014">
        <v>591</v>
      </c>
      <c r="E89" s="801">
        <v>4</v>
      </c>
      <c r="F89" s="1014">
        <v>656</v>
      </c>
      <c r="K89" s="1277"/>
      <c r="L89" s="1277"/>
      <c r="M89" s="1278"/>
    </row>
    <row r="90" spans="1:13">
      <c r="A90" s="801">
        <v>5</v>
      </c>
      <c r="B90" s="1014">
        <v>600</v>
      </c>
      <c r="C90" s="801">
        <v>5</v>
      </c>
      <c r="D90" s="1014">
        <v>675</v>
      </c>
      <c r="E90" s="801">
        <v>5</v>
      </c>
      <c r="F90" s="1014">
        <v>750</v>
      </c>
      <c r="K90" s="1277"/>
      <c r="L90" s="1277"/>
      <c r="M90" s="1278"/>
    </row>
    <row r="91" spans="1:13">
      <c r="A91" s="801">
        <v>6</v>
      </c>
      <c r="B91" s="1014">
        <v>671</v>
      </c>
      <c r="C91" s="801">
        <v>6</v>
      </c>
      <c r="D91" s="1014">
        <v>756</v>
      </c>
      <c r="E91" s="801">
        <v>6</v>
      </c>
      <c r="F91" s="1014">
        <v>841</v>
      </c>
      <c r="K91" s="1277"/>
      <c r="L91" s="1277"/>
      <c r="M91" s="1278"/>
    </row>
    <row r="92" spans="1:13">
      <c r="A92" s="801">
        <v>7</v>
      </c>
      <c r="B92" s="1014">
        <v>742</v>
      </c>
      <c r="C92" s="801">
        <v>7</v>
      </c>
      <c r="D92" s="1014">
        <v>837</v>
      </c>
      <c r="E92" s="801">
        <v>7</v>
      </c>
      <c r="F92" s="1014">
        <v>932</v>
      </c>
      <c r="K92" s="1277"/>
      <c r="L92" s="1277"/>
      <c r="M92" s="1278"/>
    </row>
    <row r="93" spans="1:13">
      <c r="B93" s="1310">
        <f>VLOOKUP(B6,A86:B92,2)</f>
        <v>312</v>
      </c>
      <c r="D93" s="1310">
        <f>VLOOKUP(B6,C86:D92,2)</f>
        <v>351</v>
      </c>
      <c r="F93" s="1310">
        <f>VLOOKUP($B$6,E86:F92,2)</f>
        <v>390</v>
      </c>
      <c r="K93" s="1277"/>
      <c r="L93" s="1277"/>
      <c r="M93" s="1278"/>
    </row>
    <row r="94" spans="1:13">
      <c r="D94" s="952"/>
      <c r="K94" s="1277"/>
      <c r="L94" s="1277"/>
      <c r="M94" s="1278"/>
    </row>
    <row r="95" spans="1:13">
      <c r="A95" s="801" t="s">
        <v>18</v>
      </c>
      <c r="B95" s="801" t="s">
        <v>2218</v>
      </c>
      <c r="C95" s="801" t="s">
        <v>18</v>
      </c>
      <c r="D95" s="801" t="s">
        <v>2219</v>
      </c>
      <c r="E95" s="801" t="s">
        <v>18</v>
      </c>
      <c r="F95" s="801" t="s">
        <v>2220</v>
      </c>
      <c r="K95" s="1277"/>
      <c r="L95" s="1277"/>
      <c r="M95" s="1278"/>
    </row>
    <row r="96" spans="1:13">
      <c r="A96" s="801">
        <v>1</v>
      </c>
      <c r="B96" s="1014">
        <v>434</v>
      </c>
      <c r="C96" s="801">
        <v>1</v>
      </c>
      <c r="D96" s="1014">
        <v>482</v>
      </c>
      <c r="E96" s="801">
        <v>1</v>
      </c>
      <c r="F96" s="1014">
        <v>522</v>
      </c>
      <c r="G96" s="1311" t="s">
        <v>2221</v>
      </c>
      <c r="H96" s="1312">
        <f>B93</f>
        <v>312</v>
      </c>
      <c r="K96" s="1277"/>
      <c r="L96" s="1277"/>
      <c r="M96" s="1278"/>
    </row>
    <row r="97" spans="1:13">
      <c r="A97" s="801">
        <v>2</v>
      </c>
      <c r="B97" s="1014">
        <v>526</v>
      </c>
      <c r="C97" s="801">
        <v>2</v>
      </c>
      <c r="D97" s="1014">
        <v>584</v>
      </c>
      <c r="E97" s="801">
        <v>2</v>
      </c>
      <c r="F97" s="1014">
        <v>633</v>
      </c>
      <c r="G97" s="1311" t="s">
        <v>2222</v>
      </c>
      <c r="H97" s="1312">
        <f>D93</f>
        <v>351</v>
      </c>
      <c r="K97" s="1277"/>
      <c r="L97" s="1277"/>
      <c r="M97" s="1278"/>
    </row>
    <row r="98" spans="1:13">
      <c r="A98" s="801">
        <v>3</v>
      </c>
      <c r="B98" s="1014">
        <v>626</v>
      </c>
      <c r="C98" s="801">
        <v>3</v>
      </c>
      <c r="D98" s="1014">
        <v>695</v>
      </c>
      <c r="E98" s="801">
        <v>3</v>
      </c>
      <c r="F98" s="1014">
        <v>753</v>
      </c>
      <c r="G98" s="1311" t="s">
        <v>2223</v>
      </c>
      <c r="H98" s="1312">
        <f>F93</f>
        <v>390</v>
      </c>
      <c r="K98" s="1277"/>
      <c r="L98" s="1277"/>
      <c r="M98" s="1278"/>
    </row>
    <row r="99" spans="1:13">
      <c r="A99" s="801">
        <v>4</v>
      </c>
      <c r="B99" s="1014">
        <v>730</v>
      </c>
      <c r="C99" s="801">
        <v>4</v>
      </c>
      <c r="D99" s="1014">
        <v>811</v>
      </c>
      <c r="E99" s="801">
        <v>4</v>
      </c>
      <c r="F99" s="1014">
        <v>879</v>
      </c>
      <c r="G99" s="1311" t="s">
        <v>2224</v>
      </c>
      <c r="H99" s="1312">
        <f>B103</f>
        <v>434</v>
      </c>
      <c r="K99" s="1277"/>
      <c r="L99" s="1277"/>
      <c r="M99" s="1278"/>
    </row>
    <row r="100" spans="1:13">
      <c r="A100" s="801">
        <v>5</v>
      </c>
      <c r="B100" s="1014">
        <v>834</v>
      </c>
      <c r="C100" s="801">
        <v>5</v>
      </c>
      <c r="D100" s="1014">
        <v>927</v>
      </c>
      <c r="E100" s="801">
        <v>5</v>
      </c>
      <c r="F100" s="1014">
        <v>1004</v>
      </c>
      <c r="G100" s="1311" t="s">
        <v>2225</v>
      </c>
      <c r="H100" s="1312">
        <f>D103</f>
        <v>482</v>
      </c>
      <c r="K100" s="1277"/>
      <c r="L100" s="1277"/>
      <c r="M100" s="1278"/>
    </row>
    <row r="101" spans="1:13">
      <c r="A101" s="801">
        <v>6</v>
      </c>
      <c r="B101" s="1014">
        <v>935</v>
      </c>
      <c r="C101" s="801">
        <v>6</v>
      </c>
      <c r="D101" s="1014">
        <v>1038</v>
      </c>
      <c r="E101" s="801">
        <v>6</v>
      </c>
      <c r="F101" s="1014">
        <v>1130</v>
      </c>
      <c r="G101" s="1311" t="s">
        <v>2226</v>
      </c>
      <c r="H101" s="1312">
        <f>F103</f>
        <v>522</v>
      </c>
      <c r="K101" s="1277"/>
      <c r="L101" s="1277"/>
      <c r="M101" s="1278"/>
    </row>
    <row r="102" spans="1:13">
      <c r="A102" s="801">
        <v>7</v>
      </c>
      <c r="B102" s="1014">
        <v>1036</v>
      </c>
      <c r="C102" s="801">
        <v>7</v>
      </c>
      <c r="D102" s="1014">
        <v>1149</v>
      </c>
      <c r="E102" s="801">
        <v>7</v>
      </c>
      <c r="F102" s="1014">
        <v>1256</v>
      </c>
      <c r="K102" s="1277"/>
      <c r="L102" s="1277"/>
      <c r="M102" s="1278"/>
    </row>
    <row r="103" spans="1:13">
      <c r="B103" s="1310">
        <f>VLOOKUP(B6,A96:B102,2)</f>
        <v>434</v>
      </c>
      <c r="D103" s="1310">
        <f>VLOOKUP(B6,C96:D102,2)</f>
        <v>482</v>
      </c>
      <c r="F103" s="1310">
        <f>VLOOKUP($B$6,E96:F102,2)</f>
        <v>522</v>
      </c>
      <c r="K103" s="1277"/>
      <c r="L103" s="1277"/>
      <c r="M103" s="1278"/>
    </row>
    <row r="104" spans="1:13">
      <c r="K104" s="1277"/>
      <c r="L104" s="1277"/>
      <c r="M104" s="1278"/>
    </row>
    <row r="105" spans="1:13">
      <c r="K105" s="1277"/>
      <c r="L105" s="1277"/>
      <c r="M105" s="1278"/>
    </row>
    <row r="106" spans="1:13">
      <c r="K106" s="1277"/>
      <c r="L106" s="1277"/>
      <c r="M106" s="1278"/>
    </row>
    <row r="107" spans="1:13">
      <c r="K107" s="1277"/>
      <c r="L107" s="1277"/>
      <c r="M107" s="1278"/>
    </row>
    <row r="108" spans="1:13">
      <c r="K108" s="1277"/>
      <c r="L108" s="1277"/>
      <c r="M108" s="1278"/>
    </row>
    <row r="109" spans="1:13">
      <c r="K109" s="1277"/>
      <c r="L109" s="1277"/>
      <c r="M109" s="1278"/>
    </row>
    <row r="110" spans="1:13">
      <c r="K110" s="1277"/>
      <c r="L110" s="1277"/>
      <c r="M110" s="1278"/>
    </row>
    <row r="111" spans="1:13">
      <c r="K111" s="1277"/>
      <c r="L111" s="1277"/>
      <c r="M111" s="1278"/>
    </row>
    <row r="112" spans="1:13">
      <c r="K112" s="1277"/>
      <c r="L112" s="1277"/>
      <c r="M112" s="1278"/>
    </row>
    <row r="113" spans="11:13">
      <c r="K113" s="1277"/>
      <c r="L113" s="1277"/>
      <c r="M113" s="1278"/>
    </row>
    <row r="114" spans="11:13">
      <c r="K114" s="1277"/>
      <c r="L114" s="1277"/>
      <c r="M114" s="1278"/>
    </row>
    <row r="115" spans="11:13">
      <c r="K115" s="1277"/>
      <c r="L115" s="1277"/>
      <c r="M115" s="1278"/>
    </row>
    <row r="116" spans="11:13">
      <c r="K116" s="1277"/>
      <c r="L116" s="1277"/>
      <c r="M116" s="1278"/>
    </row>
    <row r="117" spans="11:13">
      <c r="K117" s="1277"/>
      <c r="L117" s="1277"/>
      <c r="M117" s="1278"/>
    </row>
    <row r="118" spans="11:13">
      <c r="K118" s="1277"/>
      <c r="L118" s="1277"/>
      <c r="M118" s="1278"/>
    </row>
    <row r="119" spans="11:13">
      <c r="K119" s="1277"/>
      <c r="L119" s="1277"/>
      <c r="M119" s="1278"/>
    </row>
    <row r="120" spans="11:13">
      <c r="K120" s="1277"/>
      <c r="L120" s="1277"/>
      <c r="M120" s="1278"/>
    </row>
    <row r="121" spans="11:13">
      <c r="K121" s="1277"/>
      <c r="L121" s="1277"/>
      <c r="M121" s="1278"/>
    </row>
  </sheetData>
  <mergeCells count="6">
    <mergeCell ref="A54:I54"/>
    <mergeCell ref="A2:I2"/>
    <mergeCell ref="B3:C3"/>
    <mergeCell ref="A9:I9"/>
    <mergeCell ref="C14:D14"/>
    <mergeCell ref="A22:I22"/>
  </mergeCells>
  <conditionalFormatting sqref="B12">
    <cfRule type="expression" dxfId="163" priority="2">
      <formula>B11="miete"</formula>
    </cfRule>
  </conditionalFormatting>
  <conditionalFormatting sqref="B14">
    <cfRule type="expression" dxfId="162" priority="3">
      <formula>B11="Eigentum"</formula>
    </cfRule>
  </conditionalFormatting>
  <conditionalFormatting sqref="B15">
    <cfRule type="expression" dxfId="161" priority="4">
      <formula>B11="eigentum"</formula>
    </cfRule>
  </conditionalFormatting>
  <conditionalFormatting sqref="B16">
    <cfRule type="expression" dxfId="160" priority="5">
      <formula>A16&lt;&gt;0</formula>
    </cfRule>
  </conditionalFormatting>
  <conditionalFormatting sqref="B17">
    <cfRule type="expression" dxfId="159" priority="6">
      <formula>A17&lt;&gt;0</formula>
    </cfRule>
  </conditionalFormatting>
  <conditionalFormatting sqref="B18">
    <cfRule type="expression" dxfId="158" priority="7">
      <formula>B11="Eigentum"</formula>
    </cfRule>
  </conditionalFormatting>
  <hyperlinks>
    <hyperlink ref="A1" location="Eingaben!A1" display="zurück"/>
  </hyperlinks>
  <pageMargins left="0.70833333333333304" right="0.31527777777777799" top="0.59027777777777801" bottom="0.39374999999999999"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dimension ref="A1:BL268"/>
  <sheetViews>
    <sheetView showGridLines="0" zoomScale="118" zoomScaleNormal="118" workbookViewId="0">
      <selection activeCell="E177" sqref="E177"/>
    </sheetView>
  </sheetViews>
  <sheetFormatPr baseColWidth="10" defaultColWidth="11.5703125" defaultRowHeight="16.5"/>
  <cols>
    <col min="1" max="1" width="33.28515625" style="801" customWidth="1"/>
    <col min="2" max="2" width="16.7109375" style="801" customWidth="1"/>
    <col min="3" max="3" width="12.85546875" style="801" customWidth="1"/>
    <col min="4" max="6" width="13" style="801" customWidth="1"/>
    <col min="7" max="7" width="12.5703125" style="801" customWidth="1"/>
    <col min="8" max="8" width="12.7109375" style="801" customWidth="1"/>
    <col min="9" max="9" width="13.42578125" style="801" customWidth="1"/>
    <col min="10" max="10" width="11.5703125" style="801" hidden="1"/>
    <col min="11" max="64" width="11.42578125" style="801" customWidth="1"/>
  </cols>
  <sheetData>
    <row r="1" spans="1:11" ht="20.25" customHeight="1">
      <c r="H1" s="802" t="s">
        <v>2156</v>
      </c>
      <c r="I1" s="803">
        <f ca="1">TODAY()</f>
        <v>44774</v>
      </c>
    </row>
    <row r="2" spans="1:11" ht="36" hidden="1" customHeight="1">
      <c r="A2" s="1313"/>
      <c r="B2" s="1314" t="s">
        <v>2227</v>
      </c>
      <c r="C2" s="1315"/>
      <c r="D2" s="1316"/>
      <c r="E2" s="1317"/>
      <c r="F2" s="1317"/>
      <c r="G2" s="1317"/>
      <c r="H2" s="1317"/>
      <c r="I2" s="1318"/>
      <c r="J2" s="1268"/>
      <c r="K2" s="1268"/>
    </row>
    <row r="3" spans="1:11" ht="18.75" hidden="1">
      <c r="A3" s="806" t="s">
        <v>138</v>
      </c>
      <c r="B3" s="1990">
        <f>Zusatzeingaben!B2</f>
        <v>0</v>
      </c>
      <c r="C3" s="1990"/>
      <c r="D3" s="807" t="s">
        <v>139</v>
      </c>
      <c r="E3" s="813">
        <f>Zusatzeingaben!E2</f>
        <v>44774</v>
      </c>
      <c r="F3" s="809" t="s">
        <v>2158</v>
      </c>
      <c r="G3" s="814">
        <f>Zusatzeingaben!F2</f>
        <v>44804</v>
      </c>
      <c r="H3" s="811"/>
      <c r="I3" s="812"/>
      <c r="J3" s="1268"/>
      <c r="K3" s="1268"/>
    </row>
    <row r="4" spans="1:11" ht="15" hidden="1" customHeight="1">
      <c r="J4" s="1268"/>
      <c r="K4" s="1268"/>
    </row>
    <row r="5" spans="1:11" ht="23.25" hidden="1">
      <c r="A5" s="1319"/>
      <c r="B5" s="1320" t="s">
        <v>127</v>
      </c>
      <c r="C5" s="1316"/>
      <c r="D5" s="1316"/>
      <c r="E5" s="1316"/>
      <c r="F5" s="1316"/>
      <c r="G5" s="1316"/>
      <c r="H5" s="1316"/>
      <c r="I5" s="1321"/>
    </row>
    <row r="6" spans="1:11" ht="20.25" hidden="1" customHeight="1">
      <c r="A6" s="839"/>
      <c r="B6" s="1322" t="s">
        <v>246</v>
      </c>
      <c r="C6" s="1322" t="str">
        <f>Zusatzeingaben!C4</f>
        <v>Antragsteller</v>
      </c>
      <c r="D6" s="1322" t="str">
        <f>Zusatzeingaben!D4</f>
        <v>Partner(in)</v>
      </c>
      <c r="E6" s="1322" t="str">
        <f>Zusatzeingaben!E4</f>
        <v>Kind 1</v>
      </c>
      <c r="F6" s="1322" t="s">
        <v>145</v>
      </c>
      <c r="G6" s="1322" t="s">
        <v>146</v>
      </c>
      <c r="H6" s="1322" t="s">
        <v>147</v>
      </c>
      <c r="I6" s="1323" t="s">
        <v>148</v>
      </c>
    </row>
    <row r="7" spans="1:11" hidden="1">
      <c r="A7" s="839" t="s">
        <v>2159</v>
      </c>
      <c r="B7" s="1324">
        <f>Zusatzeingaben!B6</f>
        <v>1</v>
      </c>
      <c r="C7" s="841">
        <f>Zusatzeingaben!C6</f>
        <v>0</v>
      </c>
      <c r="D7" s="841">
        <f>Zusatzeingaben!D6</f>
        <v>0</v>
      </c>
      <c r="E7" s="841">
        <f>Zusatzeingaben!E6</f>
        <v>0</v>
      </c>
      <c r="F7" s="841">
        <f>Zusatzeingaben!F6</f>
        <v>0</v>
      </c>
      <c r="G7" s="841">
        <f>Zusatzeingaben!G6</f>
        <v>0</v>
      </c>
      <c r="H7" s="841">
        <f>Zusatzeingaben!H6</f>
        <v>0</v>
      </c>
      <c r="I7" s="842">
        <f>Zusatzeingaben!I6</f>
        <v>0</v>
      </c>
    </row>
    <row r="8" spans="1:11" hidden="1">
      <c r="A8" s="839" t="s">
        <v>2160</v>
      </c>
      <c r="B8" s="864"/>
      <c r="C8" s="1325" t="str">
        <f>Zusatzeingaben!E7</f>
        <v>nein</v>
      </c>
      <c r="D8" s="1325" t="str">
        <f>Zusatzeingaben!F7</f>
        <v>nein</v>
      </c>
      <c r="E8" s="1325"/>
      <c r="F8" s="1325"/>
      <c r="G8" s="1325"/>
      <c r="H8" s="1325"/>
      <c r="I8" s="1326"/>
    </row>
    <row r="9" spans="1:11" hidden="1">
      <c r="A9" s="839" t="s">
        <v>2161</v>
      </c>
      <c r="B9" s="889"/>
      <c r="C9" s="879">
        <f>Zusatzeingaben!C22</f>
        <v>0</v>
      </c>
      <c r="D9" s="879">
        <f>Zusatzeingaben!D22</f>
        <v>0</v>
      </c>
      <c r="E9" s="879">
        <f>IF(Zusatzeingaben!E16=0,Zusatzeingaben!E16,Zusatzeingaben!E22)</f>
        <v>0</v>
      </c>
      <c r="F9" s="879">
        <f>IF(Zusatzeingaben!F16=0,Zusatzeingaben!F16,Zusatzeingaben!F22)</f>
        <v>0</v>
      </c>
      <c r="G9" s="879">
        <f>IF(Zusatzeingaben!G16=0,Zusatzeingaben!G16,Zusatzeingaben!G22)</f>
        <v>0</v>
      </c>
      <c r="H9" s="879">
        <f>IF(Zusatzeingaben!H16=0,Zusatzeingaben!H16,Zusatzeingaben!H22)</f>
        <v>0</v>
      </c>
      <c r="I9" s="880">
        <f>IF(Zusatzeingaben!I16=0,Zusatzeingaben!I16,Zusatzeingaben!I22)</f>
        <v>0</v>
      </c>
    </row>
    <row r="10" spans="1:11" hidden="1">
      <c r="A10" s="854" t="s">
        <v>2162</v>
      </c>
      <c r="B10" s="1327"/>
      <c r="C10" s="1328" t="str">
        <f>Zusatzeingaben!C35</f>
        <v>ja</v>
      </c>
      <c r="D10" s="1328">
        <f>IF(Zusatzeingaben!D33&gt;0,Zusatzeingaben!D35,0)</f>
        <v>0</v>
      </c>
      <c r="E10" s="1328">
        <f>IF(Zusatzeingaben!E33&gt;0,Zusatzeingaben!E35,0)</f>
        <v>0</v>
      </c>
      <c r="F10" s="1328">
        <f>IF(Zusatzeingaben!F33&gt;0,Zusatzeingaben!F35,0)</f>
        <v>0</v>
      </c>
      <c r="G10" s="1328">
        <f>IF(Zusatzeingaben!G33&gt;0,Zusatzeingaben!G35,0)</f>
        <v>0</v>
      </c>
      <c r="H10" s="1328">
        <f>IF(Zusatzeingaben!H33&gt;0,Zusatzeingaben!H35,0)</f>
        <v>0</v>
      </c>
      <c r="I10" s="1329">
        <f>IF(Zusatzeingaben!I33&gt;0,Zusatzeingaben!I35,0)</f>
        <v>0</v>
      </c>
    </row>
    <row r="11" spans="1:11" hidden="1">
      <c r="A11" s="1330" t="s">
        <v>2163</v>
      </c>
      <c r="B11" s="1331">
        <f>SUM(C11:I11)</f>
        <v>449</v>
      </c>
      <c r="C11" s="1332">
        <f>Zusatzeingaben!C33</f>
        <v>449</v>
      </c>
      <c r="D11" s="1332">
        <f>Zusatzeingaben!D33</f>
        <v>0</v>
      </c>
      <c r="E11" s="1332">
        <f>Zusatzeingaben!E33</f>
        <v>0</v>
      </c>
      <c r="F11" s="1332">
        <f>Zusatzeingaben!F33</f>
        <v>0</v>
      </c>
      <c r="G11" s="1332">
        <f>Zusatzeingaben!G33</f>
        <v>0</v>
      </c>
      <c r="H11" s="1332">
        <f>Zusatzeingaben!H33</f>
        <v>0</v>
      </c>
      <c r="I11" s="1333">
        <f>Zusatzeingaben!I33</f>
        <v>0</v>
      </c>
    </row>
    <row r="12" spans="1:11" hidden="1">
      <c r="A12" s="1334" t="s">
        <v>2164</v>
      </c>
      <c r="B12" s="522"/>
      <c r="C12" s="1016"/>
      <c r="D12" s="1016"/>
      <c r="E12" s="1016"/>
      <c r="F12" s="1016"/>
      <c r="G12" s="1016"/>
      <c r="H12" s="1016"/>
      <c r="I12" s="1017"/>
    </row>
    <row r="13" spans="1:11" hidden="1">
      <c r="A13" s="976">
        <f>IF(B13&gt;0,"Schwangerschaft",0)</f>
        <v>0</v>
      </c>
      <c r="B13" s="1335">
        <f>SUM(C13:I13)</f>
        <v>0</v>
      </c>
      <c r="C13" s="522">
        <f>IF(OR(Zusatzeingaben!C37="",C10="nur Mehrbedarf"),0,Zusatzeingaben!C45)</f>
        <v>0</v>
      </c>
      <c r="D13" s="522">
        <f>IF(OR(Zusatzeingaben!D37="",D10="nur Mehrbedarf"),0,Zusatzeingaben!D45)</f>
        <v>0</v>
      </c>
      <c r="E13" s="522">
        <f>IF(Zusatzeingaben!E37="",0,Zusatzeingaben!E45)</f>
        <v>0</v>
      </c>
      <c r="F13" s="522"/>
      <c r="G13" s="522"/>
      <c r="H13" s="522"/>
      <c r="I13" s="523"/>
    </row>
    <row r="14" spans="1:11" hidden="1">
      <c r="A14" s="976">
        <f>IF(B14&gt;0,"Alleinerziehende",0)</f>
        <v>0</v>
      </c>
      <c r="B14" s="1335">
        <f>C14</f>
        <v>0</v>
      </c>
      <c r="C14" s="522">
        <f>IF(C10="nur Mehrbedarf",0,Zusatzeingaben!B46)</f>
        <v>0</v>
      </c>
      <c r="D14" s="522"/>
      <c r="E14" s="522"/>
      <c r="F14" s="522"/>
      <c r="G14" s="522"/>
      <c r="H14" s="522"/>
      <c r="I14" s="523"/>
    </row>
    <row r="15" spans="1:11" hidden="1">
      <c r="A15" s="976">
        <f>IF(B15&gt;0,"behinderter Mensch, Teilhabe",0)</f>
        <v>0</v>
      </c>
      <c r="B15" s="1335">
        <f>SUM(C15:I15)</f>
        <v>0</v>
      </c>
      <c r="C15" s="522">
        <f>IF(Zusatzeingaben!C34="ja",Zusatzeingaben!C92,0)</f>
        <v>0</v>
      </c>
      <c r="D15" s="522">
        <f>IF(Zusatzeingaben!D34="ja",Zusatzeingaben!D92,0)</f>
        <v>0</v>
      </c>
      <c r="E15" s="522">
        <f>IF(Zusatzeingaben!E34="ja",Zusatzeingaben!E92,0)</f>
        <v>0</v>
      </c>
      <c r="F15" s="522">
        <f>IF(Zusatzeingaben!F34="ja",Zusatzeingaben!F92,0)</f>
        <v>0</v>
      </c>
      <c r="G15" s="522">
        <f>IF(Zusatzeingaben!G34="ja",Zusatzeingaben!G92,0)</f>
        <v>0</v>
      </c>
      <c r="H15" s="522">
        <f>IF(Zusatzeingaben!H34="ja",Zusatzeingaben!H92,0)</f>
        <v>0</v>
      </c>
      <c r="I15" s="523">
        <f>IF(Zusatzeingaben!I34="ja",Zusatzeingaben!I92,0)</f>
        <v>0</v>
      </c>
    </row>
    <row r="16" spans="1:11" hidden="1">
      <c r="A16" s="976">
        <f>IF(B16&gt;0,"kostenaufwändige Ernährung",0)</f>
        <v>0</v>
      </c>
      <c r="B16" s="1335">
        <f>SUM(C16:I16)</f>
        <v>0</v>
      </c>
      <c r="C16" s="522">
        <f>IF(C10="nur Mehrbedarf",0,Zusatzeingaben!C93)</f>
        <v>0</v>
      </c>
      <c r="D16" s="522">
        <f>IF(D10="nur Mehrbedarf",0,Zusatzeingaben!D93)</f>
        <v>0</v>
      </c>
      <c r="E16" s="522">
        <f>Zusatzeingaben!E93</f>
        <v>0</v>
      </c>
      <c r="F16" s="522">
        <f>Zusatzeingaben!F93</f>
        <v>0</v>
      </c>
      <c r="G16" s="522">
        <f>Zusatzeingaben!G93</f>
        <v>0</v>
      </c>
      <c r="H16" s="522">
        <f>Zusatzeingaben!H93</f>
        <v>0</v>
      </c>
      <c r="I16" s="523">
        <f>Zusatzeingaben!I93</f>
        <v>0</v>
      </c>
    </row>
    <row r="17" spans="1:11" hidden="1">
      <c r="A17" s="976">
        <f>IF(B17&gt;0,"unabweisbarer, lfd., besond. Bedarf",0)</f>
        <v>0</v>
      </c>
      <c r="B17" s="1335">
        <f>SUM(C17:I17)</f>
        <v>0</v>
      </c>
      <c r="C17" s="522">
        <f>IF(C10="nur Mehrbedarf",0,Zusatzeingaben!C94)</f>
        <v>0</v>
      </c>
      <c r="D17" s="522">
        <f>IF(D10="nur Mehrbedarf",0,Zusatzeingaben!D94)</f>
        <v>0</v>
      </c>
      <c r="E17" s="522">
        <f>Zusatzeingaben!E94</f>
        <v>0</v>
      </c>
      <c r="F17" s="522">
        <f>Zusatzeingaben!F94</f>
        <v>0</v>
      </c>
      <c r="G17" s="522">
        <f>Zusatzeingaben!G94</f>
        <v>0</v>
      </c>
      <c r="H17" s="522">
        <f>Zusatzeingaben!H94</f>
        <v>0</v>
      </c>
      <c r="I17" s="523">
        <f>Zusatzeingaben!I94</f>
        <v>0</v>
      </c>
    </row>
    <row r="18" spans="1:11" hidden="1">
      <c r="A18" s="976">
        <f>IF(B18&gt;0,"Warmwasser dezentral",0)</f>
        <v>0</v>
      </c>
      <c r="B18" s="1335">
        <f>SUM(C18:I18)</f>
        <v>0</v>
      </c>
      <c r="C18" s="522">
        <f>Zusatzeingaben!C98</f>
        <v>0</v>
      </c>
      <c r="D18" s="522">
        <f>Zusatzeingaben!D98</f>
        <v>0</v>
      </c>
      <c r="E18" s="522">
        <f>Zusatzeingaben!E98</f>
        <v>0</v>
      </c>
      <c r="F18" s="522">
        <f>Zusatzeingaben!F98</f>
        <v>0</v>
      </c>
      <c r="G18" s="522">
        <f>Zusatzeingaben!G98</f>
        <v>0</v>
      </c>
      <c r="H18" s="522">
        <f>Zusatzeingaben!H98</f>
        <v>0</v>
      </c>
      <c r="I18" s="523">
        <f>Zusatzeingaben!I98</f>
        <v>0</v>
      </c>
    </row>
    <row r="19" spans="1:11" hidden="1">
      <c r="A19" s="976">
        <f>IF(B19&gt;0,"erwerbsunfähig, Merkzeichen G",0)</f>
        <v>0</v>
      </c>
      <c r="B19" s="1335">
        <f>SUM(C19:I19)</f>
        <v>0</v>
      </c>
      <c r="C19" s="522">
        <f>IF(Zusatzeingaben!C34="nein",Zusatzeingaben!C100,0)</f>
        <v>0</v>
      </c>
      <c r="D19" s="522">
        <f>IF(Zusatzeingaben!D34="nein",Zusatzeingaben!D100,0)</f>
        <v>0</v>
      </c>
      <c r="E19" s="522">
        <f>IF(Zusatzeingaben!E34="nein",Zusatzeingaben!E100,0)</f>
        <v>0</v>
      </c>
      <c r="F19" s="522">
        <f>IF(Zusatzeingaben!F34="nein",Zusatzeingaben!F100,0)</f>
        <v>0</v>
      </c>
      <c r="G19" s="522">
        <f>IF(Zusatzeingaben!G34="nein",Zusatzeingaben!G100,0)</f>
        <v>0</v>
      </c>
      <c r="H19" s="522">
        <f>IF(Zusatzeingaben!H34="nein",Zusatzeingaben!H100,0)</f>
        <v>0</v>
      </c>
      <c r="I19" s="523">
        <f>IF(Zusatzeingaben!I34="nein",Zusatzeingaben!I100,0)</f>
        <v>0</v>
      </c>
    </row>
    <row r="20" spans="1:11" ht="18" hidden="1" customHeight="1">
      <c r="A20" s="1336" t="s">
        <v>169</v>
      </c>
      <c r="B20" s="522"/>
      <c r="C20" s="518"/>
      <c r="D20" s="518"/>
      <c r="E20" s="518"/>
      <c r="F20" s="1016"/>
      <c r="G20" s="1016"/>
      <c r="H20" s="1016"/>
      <c r="I20" s="1017"/>
    </row>
    <row r="21" spans="1:11" hidden="1">
      <c r="A21" s="833"/>
      <c r="B21" s="522">
        <f>Zusatzeingaben!C102</f>
        <v>0</v>
      </c>
      <c r="C21" s="522">
        <f>B21/B7</f>
        <v>0</v>
      </c>
      <c r="D21" s="522">
        <f>IF(D9=0,0,B21/B7)</f>
        <v>0</v>
      </c>
      <c r="E21" s="522">
        <f>IF(Zusatzeingaben!E33=0,0,B21/B7)</f>
        <v>0</v>
      </c>
      <c r="F21" s="522">
        <f>IF(Zusatzeingaben!F33=0,0,B21/B7)</f>
        <v>0</v>
      </c>
      <c r="G21" s="522">
        <f>IF(Zusatzeingaben!G33=0,0,B21/B7)</f>
        <v>0</v>
      </c>
      <c r="H21" s="522">
        <f>IF(Zusatzeingaben!H33=0,0,B21/B7)</f>
        <v>0</v>
      </c>
      <c r="I21" s="523">
        <f>IF(Zusatzeingaben!I33=0,0,B21/B7)</f>
        <v>0</v>
      </c>
    </row>
    <row r="22" spans="1:11" hidden="1">
      <c r="A22" s="1337"/>
      <c r="B22" s="522">
        <f>SUM(C22:I22)</f>
        <v>0</v>
      </c>
      <c r="C22" s="522">
        <f>C21</f>
        <v>0</v>
      </c>
      <c r="D22" s="522">
        <f>D21</f>
        <v>0</v>
      </c>
      <c r="E22" s="522">
        <f>IF(Zusatzeingaben!E8&gt;Zusatzeingaben!E2,E21*Zusatzeingaben!E14/30,IF(Zusatzeingaben!E18=25,E21*Zusatzeingaben!E10/30,E21))</f>
        <v>0</v>
      </c>
      <c r="F22" s="522">
        <f>IF(Zusatzeingaben!F8&gt;Zusatzeingaben!E2,F21*Zusatzeingaben!F14/30,IF(Zusatzeingaben!F18=25,F21*Zusatzeingaben!F10/30,F21))</f>
        <v>0</v>
      </c>
      <c r="G22" s="522">
        <f>IF(Zusatzeingaben!G8&gt;Zusatzeingaben!E2,G21*Zusatzeingaben!G14/30,IF(Zusatzeingaben!G18=25,G21*Zusatzeingaben!G10/30,G21))</f>
        <v>0</v>
      </c>
      <c r="H22" s="522">
        <f>IF(Zusatzeingaben!H8&gt;Zusatzeingaben!E2,H21*Zusatzeingaben!H14/30,IF(Zusatzeingaben!H18=25,H21*Zusatzeingaben!H10/30,H21))</f>
        <v>0</v>
      </c>
      <c r="I22" s="523">
        <f>IF(Zusatzeingaben!I8&gt;Zusatzeingaben!E2,I21*Zusatzeingaben!I14/30,IF(Zusatzeingaben!I18=25,I21*Zusatzeingaben!I10/30,I21))</f>
        <v>0</v>
      </c>
      <c r="K22" s="1338">
        <f>COUNTIF(C22:I22,C22)</f>
        <v>7</v>
      </c>
    </row>
    <row r="23" spans="1:11" hidden="1">
      <c r="A23" s="833"/>
      <c r="B23" s="522">
        <f>SUM(C23:I23)</f>
        <v>0</v>
      </c>
      <c r="C23" s="522">
        <f>IF(AND(B22&lt;B21,C22=C21,C22&gt;0),C21+(B21-B22)/K22,C22)</f>
        <v>0</v>
      </c>
      <c r="D23" s="522">
        <f>IF(AND(B22&lt;B21,D22=D21,D22&gt;0),D21+(B21-B22)/K22,D22)</f>
        <v>0</v>
      </c>
      <c r="E23" s="522">
        <f>IF(AND(B22&lt;B21,E22=E21,E22&gt;0),E21+(B21-B22)/K22,E22)</f>
        <v>0</v>
      </c>
      <c r="F23" s="522">
        <f>IF(AND(B22&lt;B21,F22=F21,F22&gt;0),F21+(B21-B22)/K22,F22)</f>
        <v>0</v>
      </c>
      <c r="G23" s="522">
        <f>IF(AND(B22&lt;B21,G22=G21,G22&gt;0),G21+(B21-B22)/K22,G22)</f>
        <v>0</v>
      </c>
      <c r="H23" s="522">
        <f>IF(AND(B22&lt;B21,H22=H21,H22&gt;0),H21+(B21-B22)/K22,H22)</f>
        <v>0</v>
      </c>
      <c r="I23" s="523">
        <f>IF(AND(B22&lt;B21,I22=I21,I22&gt;0),I21+(B21-B22)/K22,I22)</f>
        <v>0</v>
      </c>
    </row>
    <row r="24" spans="1:11" hidden="1">
      <c r="A24" s="1339">
        <f>IF(B24&gt;0,Zusatzeingaben!A102,0)</f>
        <v>0</v>
      </c>
      <c r="B24" s="1335">
        <f>SUM(C24:I24)</f>
        <v>0</v>
      </c>
      <c r="C24" s="522">
        <f>IF(Zusatzeingaben!$K$18&gt;0,C22,C23)</f>
        <v>0</v>
      </c>
      <c r="D24" s="522">
        <f>IF(Zusatzeingaben!$K$18&gt;0,D22,D23)</f>
        <v>0</v>
      </c>
      <c r="E24" s="522">
        <f>IF(Zusatzeingaben!$K$18&gt;0,E22,E23)</f>
        <v>0</v>
      </c>
      <c r="F24" s="522">
        <f>IF(Zusatzeingaben!$K$18&gt;0,F22,F23)</f>
        <v>0</v>
      </c>
      <c r="G24" s="522">
        <f>IF(Zusatzeingaben!$K$18&gt;0,G22,G23)</f>
        <v>0</v>
      </c>
      <c r="H24" s="522">
        <f>IF(Zusatzeingaben!$K$18&gt;0,H22,H23)</f>
        <v>0</v>
      </c>
      <c r="I24" s="523">
        <f>IF(Zusatzeingaben!$K$18&gt;0,I22,I23)</f>
        <v>0</v>
      </c>
    </row>
    <row r="25" spans="1:11" hidden="1">
      <c r="A25" s="1340" t="str">
        <f>Zusatzeingaben!A103</f>
        <v>weitere Kosten</v>
      </c>
      <c r="B25" s="522">
        <f>Zusatzeingaben!C103</f>
        <v>0</v>
      </c>
      <c r="C25" s="522">
        <f>B25/B7</f>
        <v>0</v>
      </c>
      <c r="D25" s="522">
        <f>IF(D9="",0,B25/B7)</f>
        <v>0</v>
      </c>
      <c r="E25" s="522">
        <f>IF(E9="",0,B25/B7)</f>
        <v>0</v>
      </c>
      <c r="F25" s="522">
        <f>IF(F9="",0,B25/B7)</f>
        <v>0</v>
      </c>
      <c r="G25" s="522">
        <f>IF(G9="",0,B25/B7)</f>
        <v>0</v>
      </c>
      <c r="H25" s="522">
        <f>IF(H9="",0,B25/B7)</f>
        <v>0</v>
      </c>
      <c r="I25" s="523">
        <f>IF(I9="",0,B25/B7)</f>
        <v>0</v>
      </c>
    </row>
    <row r="26" spans="1:11" hidden="1">
      <c r="A26" s="1341"/>
      <c r="B26" s="522">
        <f>Zusatzeingaben!C104</f>
        <v>0</v>
      </c>
      <c r="C26" s="522">
        <f>B26/B7</f>
        <v>0</v>
      </c>
      <c r="D26" s="522">
        <f>IF(D9=0,0,B26/B7)</f>
        <v>0</v>
      </c>
      <c r="E26" s="522">
        <f>IF(Zusatzeingaben!E33=0,0,B26/B7)</f>
        <v>0</v>
      </c>
      <c r="F26" s="522">
        <f>IF(Zusatzeingaben!F33=0,0,B26/B7)</f>
        <v>0</v>
      </c>
      <c r="G26" s="522">
        <f>IF(Zusatzeingaben!G33=0,0,B26/B7)</f>
        <v>0</v>
      </c>
      <c r="H26" s="522">
        <f>IF(Zusatzeingaben!H33=0,0,B26/B7)</f>
        <v>0</v>
      </c>
      <c r="I26" s="523">
        <f>IF(Zusatzeingaben!I33=0,0,B26/B7)</f>
        <v>0</v>
      </c>
    </row>
    <row r="27" spans="1:11" hidden="1">
      <c r="A27" s="1339"/>
      <c r="B27" s="522">
        <f>SUM(C27:I27)</f>
        <v>0</v>
      </c>
      <c r="C27" s="522">
        <f>C26</f>
        <v>0</v>
      </c>
      <c r="D27" s="522">
        <f>D26</f>
        <v>0</v>
      </c>
      <c r="E27" s="522">
        <f>IF(Zusatzeingaben!E8&gt;Zusatzeingaben!E2,E26*Zusatzeingaben!E14/30,IF(Zusatzeingaben!E18=25,E26*Zusatzeingaben!E10/30,E26))</f>
        <v>0</v>
      </c>
      <c r="F27" s="522">
        <f>IF(Zusatzeingaben!F8&gt;Zusatzeingaben!E2,F26*Zusatzeingaben!F14/30,IF(Zusatzeingaben!F18=25,F26*Zusatzeingaben!F10/30,F26))</f>
        <v>0</v>
      </c>
      <c r="G27" s="522">
        <f>IF(Zusatzeingaben!G8&gt;Zusatzeingaben!E2,G26*Zusatzeingaben!G14/30,IF(Zusatzeingaben!G18=25,G26*Zusatzeingaben!G10/30,G26))</f>
        <v>0</v>
      </c>
      <c r="H27" s="522">
        <f>IF(Zusatzeingaben!H8&gt;Zusatzeingaben!E2,H26*Zusatzeingaben!H14/30,IF(Zusatzeingaben!H18=25,H26*Zusatzeingaben!H10/30,H26))</f>
        <v>0</v>
      </c>
      <c r="I27" s="523">
        <f>IF(Zusatzeingaben!I8&gt;Zusatzeingaben!E2,I26*Zusatzeingaben!I14/30,IF(Zusatzeingaben!I18=25,I26*Zusatzeingaben!I10/30,I26))</f>
        <v>0</v>
      </c>
      <c r="K27" s="1338">
        <f>COUNTIF(C27:I27,C27)</f>
        <v>7</v>
      </c>
    </row>
    <row r="28" spans="1:11" hidden="1">
      <c r="A28" s="1341"/>
      <c r="B28" s="522">
        <f>SUM(C28:I28)</f>
        <v>0</v>
      </c>
      <c r="C28" s="522">
        <f>IF(AND(B27&lt;B26,C27=C26,C27&gt;0),C26+(B26-B27)/K27,C27)</f>
        <v>0</v>
      </c>
      <c r="D28" s="522">
        <f>IF(AND(B27&lt;B26,D27=D26,D27&gt;0),D26+(B26-B27)/K27,D27)</f>
        <v>0</v>
      </c>
      <c r="E28" s="522">
        <f>IF(AND(B27&lt;B26,E27=E26,E27&gt;0),E26+(B26-B27)/K27,E27)</f>
        <v>0</v>
      </c>
      <c r="F28" s="522">
        <f>IF(AND(B27&lt;B26,F27=F26,F27&gt;0),F26+(B26-B27)/K27,F27)</f>
        <v>0</v>
      </c>
      <c r="G28" s="522">
        <f>IF(AND(B27&lt;B26,G27=G26,G27&gt;0),G26+(B26-B27)/K27,G27)</f>
        <v>0</v>
      </c>
      <c r="H28" s="522">
        <f>IF(AND(B27&lt;B26,H27=H26,H27&gt;0),H26+(B26-B27)/K27,H27)</f>
        <v>0</v>
      </c>
      <c r="I28" s="523">
        <f>IF(AND(B27&lt;B26,I27=I26,I27&gt;0),I26+(B26-B27)/K27,I27)</f>
        <v>0</v>
      </c>
    </row>
    <row r="29" spans="1:11" hidden="1">
      <c r="A29" s="1339">
        <f>IF(B29&gt;0,Zusatzeingaben!A104,0)</f>
        <v>0</v>
      </c>
      <c r="B29" s="1335">
        <f>SUM(C29:I29)</f>
        <v>0</v>
      </c>
      <c r="C29" s="522">
        <f>IF(Zusatzeingaben!$K$18&gt;0,C27,C28)</f>
        <v>0</v>
      </c>
      <c r="D29" s="522">
        <f>IF(Zusatzeingaben!$K$18&gt;0,D27,D28)</f>
        <v>0</v>
      </c>
      <c r="E29" s="522">
        <f>IF(Zusatzeingaben!$K$18&gt;0,E27,E28)</f>
        <v>0</v>
      </c>
      <c r="F29" s="522">
        <f>IF(Zusatzeingaben!$K$18&gt;0,F27,F28)</f>
        <v>0</v>
      </c>
      <c r="G29" s="522">
        <f>IF(Zusatzeingaben!$K$18&gt;0,G27,G28)</f>
        <v>0</v>
      </c>
      <c r="H29" s="522">
        <f>IF(Zusatzeingaben!$K$18&gt;0,H27,H28)</f>
        <v>0</v>
      </c>
      <c r="I29" s="523">
        <f>IF(Zusatzeingaben!$K$18&gt;0,I27,I28)</f>
        <v>0</v>
      </c>
    </row>
    <row r="30" spans="1:11" hidden="1">
      <c r="A30" s="1341"/>
      <c r="B30" s="522">
        <f>Zusatzeingaben!C105</f>
        <v>0</v>
      </c>
      <c r="C30" s="522">
        <f>B30/B7</f>
        <v>0</v>
      </c>
      <c r="D30" s="522">
        <f>IF(D9=0,0,B30/B7)</f>
        <v>0</v>
      </c>
      <c r="E30" s="522">
        <f>IF(Zusatzeingaben!E33=0,0,B30/B7)</f>
        <v>0</v>
      </c>
      <c r="F30" s="522">
        <f>IF(Zusatzeingaben!F33=0,0,B30/B7)</f>
        <v>0</v>
      </c>
      <c r="G30" s="522">
        <f>IF(Zusatzeingaben!G33=0,0,B30/B7)</f>
        <v>0</v>
      </c>
      <c r="H30" s="522">
        <f>IF(Zusatzeingaben!H33=0,0,B30/B7)</f>
        <v>0</v>
      </c>
      <c r="I30" s="523">
        <f>IF(Zusatzeingaben!I33=0,0,B30/B7)</f>
        <v>0</v>
      </c>
    </row>
    <row r="31" spans="1:11" hidden="1">
      <c r="A31" s="1339"/>
      <c r="B31" s="522">
        <f>SUM(C31:I31)</f>
        <v>0</v>
      </c>
      <c r="C31" s="522">
        <f>C30</f>
        <v>0</v>
      </c>
      <c r="D31" s="522">
        <f>D30</f>
        <v>0</v>
      </c>
      <c r="E31" s="522">
        <f>IF(Zusatzeingaben!E8&gt;Zusatzeingaben!E2,E30*Zusatzeingaben!E14/30,IF(Zusatzeingaben!E18=25,E30*Zusatzeingaben!E10/30,E30))</f>
        <v>0</v>
      </c>
      <c r="F31" s="522">
        <f>IF(Zusatzeingaben!F8&gt;Zusatzeingaben!E2,F30*Zusatzeingaben!F14/30,IF(Zusatzeingaben!F18=25,F30*Zusatzeingaben!F10/30,F30))</f>
        <v>0</v>
      </c>
      <c r="G31" s="522">
        <f>IF(Zusatzeingaben!G8&gt;Zusatzeingaben!E2,G30*Zusatzeingaben!G14/30,IF(Zusatzeingaben!G18=25,G30*Zusatzeingaben!G10/30,G30))</f>
        <v>0</v>
      </c>
      <c r="H31" s="522">
        <f>IF(Zusatzeingaben!H8&gt;Zusatzeingaben!E2,H30*Zusatzeingaben!H14/30,IF(Zusatzeingaben!H18=25,H30*Zusatzeingaben!H10/30,H30))</f>
        <v>0</v>
      </c>
      <c r="I31" s="523">
        <f>IF(Zusatzeingaben!I8&gt;Zusatzeingaben!E2,I30*Zusatzeingaben!I14/30,IF(Zusatzeingaben!I18=25,I30*Zusatzeingaben!I10/30,I30))</f>
        <v>0</v>
      </c>
      <c r="K31" s="1338">
        <f>COUNTIF(C31:I31,C31)</f>
        <v>7</v>
      </c>
    </row>
    <row r="32" spans="1:11" hidden="1">
      <c r="A32" s="1341"/>
      <c r="B32" s="522">
        <f>SUM(C32:I32)</f>
        <v>0</v>
      </c>
      <c r="C32" s="522">
        <f>IF(AND(B31&lt;B30,C31=C30,C31&gt;0),C30+(B30-B31)/K31,C31)</f>
        <v>0</v>
      </c>
      <c r="D32" s="522">
        <f>IF(AND(B31&lt;B30,D31=D30,D31&gt;0),D30+(B30-B31)/K31,D31)</f>
        <v>0</v>
      </c>
      <c r="E32" s="522">
        <f>IF(AND(B31&lt;B30,E31=E30,E31&gt;0),E30+(B30-B31)/K31,E31)</f>
        <v>0</v>
      </c>
      <c r="F32" s="522">
        <f>IF(AND(B31&lt;B30,F31=F30,F31&gt;0),F30+(B30-B31)/K31,F31)</f>
        <v>0</v>
      </c>
      <c r="G32" s="522">
        <f>IF(AND(B31&lt;B30,G31=G30,G31&gt;0),G30+(B30-B31)/K31,G31)</f>
        <v>0</v>
      </c>
      <c r="H32" s="522">
        <f>IF(AND(B31&lt;B30,H31=H30,H31&gt;0),H30+(B30-B31)/K31,H31)</f>
        <v>0</v>
      </c>
      <c r="I32" s="523">
        <f>IF(AND(B31&lt;B30,I31=I30,I31&gt;0),I30+(B30-B31)/K31,I31)</f>
        <v>0</v>
      </c>
    </row>
    <row r="33" spans="1:11" hidden="1">
      <c r="A33" s="1339">
        <f>IF(B33&gt;0,Zusatzeingaben!A105,0)</f>
        <v>0</v>
      </c>
      <c r="B33" s="1335">
        <f>SUM(C33:I33)</f>
        <v>0</v>
      </c>
      <c r="C33" s="522">
        <f>IF(Zusatzeingaben!$K$18&gt;0,C31,C32)</f>
        <v>0</v>
      </c>
      <c r="D33" s="522">
        <f>IF(Zusatzeingaben!$K$18&gt;0,D31,D32)</f>
        <v>0</v>
      </c>
      <c r="E33" s="522">
        <f>IF(Zusatzeingaben!$K$18&gt;0,E31,E32)</f>
        <v>0</v>
      </c>
      <c r="F33" s="522">
        <f>IF(Zusatzeingaben!$K$18&gt;0,F31,F32)</f>
        <v>0</v>
      </c>
      <c r="G33" s="522">
        <f>IF(Zusatzeingaben!$K$18&gt;0,G31,G32)</f>
        <v>0</v>
      </c>
      <c r="H33" s="522">
        <f>IF(Zusatzeingaben!$K$18&gt;0,H31,H32)</f>
        <v>0</v>
      </c>
      <c r="I33" s="523">
        <f>IF(Zusatzeingaben!$K$18&gt;0,I31,I32)</f>
        <v>0</v>
      </c>
    </row>
    <row r="34" spans="1:11" hidden="1">
      <c r="A34" s="1341"/>
      <c r="B34" s="522">
        <f>Zusatzeingaben!C106</f>
        <v>0</v>
      </c>
      <c r="C34" s="522">
        <f>B34/B7</f>
        <v>0</v>
      </c>
      <c r="D34" s="522">
        <f>IF(D9=0,0,B34/B7)</f>
        <v>0</v>
      </c>
      <c r="E34" s="522">
        <f>IF(Zusatzeingaben!E33=0,0,B34/B7)</f>
        <v>0</v>
      </c>
      <c r="F34" s="522">
        <f>IF(Zusatzeingaben!F33=0,0,B34/B7)</f>
        <v>0</v>
      </c>
      <c r="G34" s="522">
        <f>IF(Zusatzeingaben!G33=0,0,B34/B7)</f>
        <v>0</v>
      </c>
      <c r="H34" s="522">
        <f>IF(Zusatzeingaben!H33=0,0,B34/B7)</f>
        <v>0</v>
      </c>
      <c r="I34" s="523">
        <f>IF(Zusatzeingaben!I33=0,0,B34/B7)</f>
        <v>0</v>
      </c>
    </row>
    <row r="35" spans="1:11" hidden="1">
      <c r="A35" s="1339"/>
      <c r="B35" s="522">
        <f t="shared" ref="B35:B42" si="0">SUM(C35:I35)</f>
        <v>0</v>
      </c>
      <c r="C35" s="522">
        <f>C34</f>
        <v>0</v>
      </c>
      <c r="D35" s="522">
        <f>D34</f>
        <v>0</v>
      </c>
      <c r="E35" s="522">
        <f>IF(Zusatzeingaben!E8&gt;Zusatzeingaben!E2,E34*Zusatzeingaben!E14/30,IF(Zusatzeingaben!E18=25,E34*Zusatzeingaben!E10/30,E34))</f>
        <v>0</v>
      </c>
      <c r="F35" s="522">
        <f>IF(Zusatzeingaben!F8&gt;Zusatzeingaben!E2,F34*Zusatzeingaben!F14/30,IF(Zusatzeingaben!F18=25,F34*Zusatzeingaben!F10/30,F34))</f>
        <v>0</v>
      </c>
      <c r="G35" s="522">
        <f>IF(Zusatzeingaben!G8&gt;Zusatzeingaben!E2,G34*Zusatzeingaben!G14/30,IF(Zusatzeingaben!G18=25,G34*Zusatzeingaben!G10/30,G34))</f>
        <v>0</v>
      </c>
      <c r="H35" s="522">
        <f>IF(Zusatzeingaben!H8&gt;Zusatzeingaben!E2,H34*Zusatzeingaben!H14/30,IF(Zusatzeingaben!H18=25,H34*Zusatzeingaben!H10/30,H34))</f>
        <v>0</v>
      </c>
      <c r="I35" s="523">
        <f>IF(Zusatzeingaben!I8&gt;Zusatzeingaben!E2,I34*Zusatzeingaben!I14/30,IF(Zusatzeingaben!I18=25,I34*Zusatzeingaben!I10/30,I34))</f>
        <v>0</v>
      </c>
      <c r="K35" s="1338">
        <f>COUNTIF(C35:I35,C35)</f>
        <v>7</v>
      </c>
    </row>
    <row r="36" spans="1:11" hidden="1">
      <c r="A36" s="1341"/>
      <c r="B36" s="522">
        <f t="shared" si="0"/>
        <v>0</v>
      </c>
      <c r="C36" s="522">
        <f>IF(AND(B35&lt;B34,C35=C34,C35&gt;0),C34+(B34-B35)/K35,C35)</f>
        <v>0</v>
      </c>
      <c r="D36" s="522">
        <f>IF(AND(B35&lt;B34,D35=D34,D35&gt;0),D34+(B34-B35)/K35,D35)</f>
        <v>0</v>
      </c>
      <c r="E36" s="522">
        <f>IF(AND(B35&lt;B34,E35=E34,E35&gt;0),E34+(B34-B35)/K35,E35)</f>
        <v>0</v>
      </c>
      <c r="F36" s="522">
        <f>IF(AND(B35&lt;B34,F35=F34,F35&gt;0),F34+(B34-B35)/K35,F35)</f>
        <v>0</v>
      </c>
      <c r="G36" s="522">
        <f>IF(AND(B35&lt;B34,G35=G34,G35&gt;0),G34+(B34-B35)/K35,G35)</f>
        <v>0</v>
      </c>
      <c r="H36" s="522">
        <f>IF(AND(B35&lt;B34,H35=H34,H35&gt;0),H34+(B34-B35)/K35,H35)</f>
        <v>0</v>
      </c>
      <c r="I36" s="523">
        <f>IF(AND(B35&lt;B34,I35=I34,I35&gt;0),I34+(B34-B35)/K35,I35)</f>
        <v>0</v>
      </c>
    </row>
    <row r="37" spans="1:11" hidden="1">
      <c r="A37" s="1339">
        <f>IF(B37&gt;0,Zusatzeingaben!A106,0)</f>
        <v>0</v>
      </c>
      <c r="B37" s="1335">
        <f t="shared" si="0"/>
        <v>0</v>
      </c>
      <c r="C37" s="522">
        <f>IF(Zusatzeingaben!$K$18&gt;0,C35,C36)</f>
        <v>0</v>
      </c>
      <c r="D37" s="522">
        <f>IF(Zusatzeingaben!$K$18&gt;0,D35,D36)</f>
        <v>0</v>
      </c>
      <c r="E37" s="522">
        <f>IF(Zusatzeingaben!$K$18&gt;0,E35,E36)</f>
        <v>0</v>
      </c>
      <c r="F37" s="522">
        <f>IF(Zusatzeingaben!$K$18&gt;0,F35,F36)</f>
        <v>0</v>
      </c>
      <c r="G37" s="522">
        <f>IF(Zusatzeingaben!$K$18&gt;0,G35,G36)</f>
        <v>0</v>
      </c>
      <c r="H37" s="522">
        <f>IF(Zusatzeingaben!$K$18&gt;0,H35,H36)</f>
        <v>0</v>
      </c>
      <c r="I37" s="523">
        <f>IF(Zusatzeingaben!$K$18&gt;0,I35,I36)</f>
        <v>0</v>
      </c>
    </row>
    <row r="38" spans="1:11" hidden="1">
      <c r="A38" s="1339"/>
      <c r="B38" s="522">
        <f t="shared" si="0"/>
        <v>0</v>
      </c>
      <c r="C38" s="522">
        <f>Zusatzeingaben!C114</f>
        <v>0</v>
      </c>
      <c r="D38" s="522">
        <f>Zusatzeingaben!D114</f>
        <v>0</v>
      </c>
      <c r="E38" s="522">
        <f>Zusatzeingaben!E114</f>
        <v>0</v>
      </c>
      <c r="F38" s="522">
        <f>Zusatzeingaben!F114</f>
        <v>0</v>
      </c>
      <c r="G38" s="522">
        <f>Zusatzeingaben!G114</f>
        <v>0</v>
      </c>
      <c r="H38" s="522">
        <f>Zusatzeingaben!H114</f>
        <v>0</v>
      </c>
      <c r="I38" s="523">
        <f>Zusatzeingaben!I114</f>
        <v>0</v>
      </c>
    </row>
    <row r="39" spans="1:11" hidden="1">
      <c r="A39" s="1339"/>
      <c r="B39" s="522">
        <f t="shared" si="0"/>
        <v>0</v>
      </c>
      <c r="C39" s="522">
        <f>C38</f>
        <v>0</v>
      </c>
      <c r="D39" s="522">
        <f>D38</f>
        <v>0</v>
      </c>
      <c r="E39" s="522">
        <f>IF(Zusatzeingaben!E8&gt;Zusatzeingaben!$E$2,E38*Zusatzeingaben!E14/30,IF(Zusatzeingaben!E18=25,E38*Zusatzeingaben!E10/30,E38))</f>
        <v>0</v>
      </c>
      <c r="F39" s="522">
        <f>IF(Zusatzeingaben!F8&gt;Zusatzeingaben!$E$2,F38*Zusatzeingaben!F14/30,IF(Zusatzeingaben!F18=25,F38*Zusatzeingaben!F10/30,F38))</f>
        <v>0</v>
      </c>
      <c r="G39" s="522">
        <f>IF(Zusatzeingaben!G8&gt;Zusatzeingaben!$E$2,G38*Zusatzeingaben!G14/30,IF(Zusatzeingaben!G18=25,G38*Zusatzeingaben!G10/30,G38))</f>
        <v>0</v>
      </c>
      <c r="H39" s="522">
        <f>IF(Zusatzeingaben!H8&gt;Zusatzeingaben!$E$2,H38*Zusatzeingaben!H14/30,IF(Zusatzeingaben!H18=25,H38*Zusatzeingaben!H10/30,H38))</f>
        <v>0</v>
      </c>
      <c r="I39" s="523">
        <f>IF(Zusatzeingaben!I8&gt;Zusatzeingaben!$E$2,I38*Zusatzeingaben!I14/30,IF(Zusatzeingaben!I18=25,I38*Zusatzeingaben!I10/30,I38))</f>
        <v>0</v>
      </c>
      <c r="K39" s="1338">
        <f>COUNTIF(C39:I39,C39)</f>
        <v>7</v>
      </c>
    </row>
    <row r="40" spans="1:11" hidden="1">
      <c r="A40" s="1339"/>
      <c r="B40" s="522">
        <f t="shared" si="0"/>
        <v>0</v>
      </c>
      <c r="C40" s="522">
        <f>IF(AND(B39&lt;B38,C39=C38,C39&gt;0),C38+(B38-B39)/K39,C39)</f>
        <v>0</v>
      </c>
      <c r="D40" s="522">
        <f>IF(AND(B39&lt;B38,D39=D38,D39&gt;0),D38+(B38-B39)/K39,D39)</f>
        <v>0</v>
      </c>
      <c r="E40" s="522">
        <f>IF(AND(B39&lt;B38,E39=E38,E39&gt;0),E38+(B38-B39)/K39,E39)</f>
        <v>0</v>
      </c>
      <c r="F40" s="522">
        <f>IF(AND(B39&lt;B38,F39=F38,F39&gt;0),F38+(B38-B39)/K39,F39)</f>
        <v>0</v>
      </c>
      <c r="G40" s="522">
        <f>IF(AND(B39&lt;B38,G39=G38,G39&gt;0),G38+(B38-B39)/K39,G39)</f>
        <v>0</v>
      </c>
      <c r="H40" s="522">
        <f>IF(AND(B39&lt;B38,H39=H38,H39&gt;0),H38+(B38-B39)/K39,H39)</f>
        <v>0</v>
      </c>
      <c r="I40" s="523">
        <f>IF(AND(B39&lt;B38,I39=I38,I39&gt;0),I38+(B38-B39)/K39,I39)</f>
        <v>0</v>
      </c>
    </row>
    <row r="41" spans="1:11" hidden="1">
      <c r="A41" s="1341"/>
      <c r="B41" s="522">
        <f t="shared" si="0"/>
        <v>0</v>
      </c>
      <c r="C41" s="522">
        <f>IF(Zusatzeingaben!$B$107&gt;0,C40,Zusatzeingaben!C114)</f>
        <v>0</v>
      </c>
      <c r="D41" s="522">
        <f>IF(Zusatzeingaben!$B$107&gt;0,D40,Zusatzeingaben!D114)</f>
        <v>0</v>
      </c>
      <c r="E41" s="522">
        <f>IF(Zusatzeingaben!$B$107&gt;0,E40,Zusatzeingaben!E114)</f>
        <v>0</v>
      </c>
      <c r="F41" s="522">
        <f>IF(Zusatzeingaben!$B$107&gt;0,F40,Zusatzeingaben!F114)</f>
        <v>0</v>
      </c>
      <c r="G41" s="522">
        <f>IF(Zusatzeingaben!$B$107&gt;0,G40,Zusatzeingaben!G114)</f>
        <v>0</v>
      </c>
      <c r="H41" s="522">
        <f>IF(Zusatzeingaben!$B$107&gt;0,H40,Zusatzeingaben!H114)</f>
        <v>0</v>
      </c>
      <c r="I41" s="523">
        <f>IF(Zusatzeingaben!$B$107&gt;0,I40,Zusatzeingaben!I114)</f>
        <v>0</v>
      </c>
    </row>
    <row r="42" spans="1:11" hidden="1">
      <c r="A42" s="1339">
        <f>IF(B42&gt;0,"./. Kostenanteil für Haushaltsstrom",0)</f>
        <v>0</v>
      </c>
      <c r="B42" s="1335">
        <f t="shared" si="0"/>
        <v>0</v>
      </c>
      <c r="C42" s="522">
        <f>IF(AND(Zusatzeingaben!$K$18&gt;0,Zusatzeingaben!$B$107&gt;0),C39,C41)</f>
        <v>0</v>
      </c>
      <c r="D42" s="522">
        <f>IF(AND(Zusatzeingaben!$K$18&gt;0,Zusatzeingaben!$B$107&gt;0),D39,D41)</f>
        <v>0</v>
      </c>
      <c r="E42" s="522">
        <f>IF(AND(Zusatzeingaben!$K$18&gt;0,Zusatzeingaben!$B$107&gt;0),E39,E41)</f>
        <v>0</v>
      </c>
      <c r="F42" s="522">
        <f>IF(AND(Zusatzeingaben!$K$18&gt;0,Zusatzeingaben!$B$107&gt;0),F39,F41)</f>
        <v>0</v>
      </c>
      <c r="G42" s="522">
        <f>IF(AND(Zusatzeingaben!$K$18&gt;0,Zusatzeingaben!$B$107&gt;0),G39,G41)</f>
        <v>0</v>
      </c>
      <c r="H42" s="522">
        <f>IF(AND(Zusatzeingaben!$K$18&gt;0,Zusatzeingaben!$B$107&gt;0),H39,H41)</f>
        <v>0</v>
      </c>
      <c r="I42" s="523">
        <f>IF(AND(Zusatzeingaben!$K$18&gt;0,Zusatzeingaben!$B$107&gt;0),I39,I41)</f>
        <v>0</v>
      </c>
    </row>
    <row r="43" spans="1:11" hidden="1">
      <c r="A43" s="1341"/>
      <c r="B43" s="522">
        <f>Zusatzeingaben!C115</f>
        <v>0</v>
      </c>
      <c r="C43" s="522">
        <f>B43/B7</f>
        <v>0</v>
      </c>
      <c r="D43" s="522">
        <f>IF(D9=0,0,B43/B7)</f>
        <v>0</v>
      </c>
      <c r="E43" s="522">
        <f>IF(Zusatzeingaben!E33=0,0,B43/B7)</f>
        <v>0</v>
      </c>
      <c r="F43" s="522">
        <f>IF(Zusatzeingaben!F33=0,0,B43/B7)</f>
        <v>0</v>
      </c>
      <c r="G43" s="522">
        <f>IF(Zusatzeingaben!G33=0,0,B43/B7)</f>
        <v>0</v>
      </c>
      <c r="H43" s="522">
        <f>IF(Zusatzeingaben!H33=0,0,B43/B7)</f>
        <v>0</v>
      </c>
      <c r="I43" s="523">
        <f>IF(Zusatzeingaben!I33=0,0,B43/B7)</f>
        <v>0</v>
      </c>
    </row>
    <row r="44" spans="1:11" hidden="1">
      <c r="A44" s="1339"/>
      <c r="B44" s="522">
        <f>SUM(C44:I44)</f>
        <v>0</v>
      </c>
      <c r="C44" s="522">
        <f>C43</f>
        <v>0</v>
      </c>
      <c r="D44" s="522">
        <f>D43</f>
        <v>0</v>
      </c>
      <c r="E44" s="522">
        <f>IF(Zusatzeingaben!E8&gt;Zusatzeingaben!E2,E43*Zusatzeingaben!E14/30,IF(Zusatzeingaben!E18=25,E43*Zusatzeingaben!E10/30,E43))</f>
        <v>0</v>
      </c>
      <c r="F44" s="522">
        <f>IF(Zusatzeingaben!F8&gt;Zusatzeingaben!E2,F43*Zusatzeingaben!F14/30,IF(Zusatzeingaben!F18=25,F43*Zusatzeingaben!F10/30,F43))</f>
        <v>0</v>
      </c>
      <c r="G44" s="522">
        <f>IF(Zusatzeingaben!G8&gt;Zusatzeingaben!E2,G43*Zusatzeingaben!G14/30,IF(Zusatzeingaben!G18=25,G43*Zusatzeingaben!G10/30,G43))</f>
        <v>0</v>
      </c>
      <c r="H44" s="522">
        <f>IF(Zusatzeingaben!H8&gt;Zusatzeingaben!E2,H43*Zusatzeingaben!H14/30,IF(Zusatzeingaben!H18=25,H43*Zusatzeingaben!H10/30,H43))</f>
        <v>0</v>
      </c>
      <c r="I44" s="523">
        <f>IF(Zusatzeingaben!I8&gt;Zusatzeingaben!E2,I43*Zusatzeingaben!I14/30,IF(Zusatzeingaben!I18=25,I43*Zusatzeingaben!I10/30,I43))</f>
        <v>0</v>
      </c>
      <c r="K44" s="1338">
        <f>COUNTIF(C44:I44,C44)</f>
        <v>7</v>
      </c>
    </row>
    <row r="45" spans="1:11" hidden="1">
      <c r="A45" s="1341"/>
      <c r="B45" s="522">
        <f>SUM(C45:I45)</f>
        <v>0</v>
      </c>
      <c r="C45" s="522">
        <f>IF(AND(B44&lt;B43,C44=C43,C44&gt;0),C43+(B43-B44)/K44,C44)</f>
        <v>0</v>
      </c>
      <c r="D45" s="522">
        <f>IF(AND(B44&lt;B43,D44=D43,D44&gt;0),D43+(B43-B44)/K44,D44)</f>
        <v>0</v>
      </c>
      <c r="E45" s="522">
        <f>IF(AND(B44&lt;B43,E44=E43,E44&gt;0),E43+(B43-B44)/K44,E44)</f>
        <v>0</v>
      </c>
      <c r="F45" s="522">
        <f>IF(AND(B44&lt;B43,F44=F43,F44&gt;0),F43+(B43-B44)/K44,F44)</f>
        <v>0</v>
      </c>
      <c r="G45" s="522">
        <f>IF(AND(B44&lt;B43,G44=G43,G44&gt;0),G43+(B43-B44)/K44,G44)</f>
        <v>0</v>
      </c>
      <c r="H45" s="522">
        <f>IF(AND(B44&lt;B43,H44=H43,H44&gt;0),H43+(B43-B44)/K44,H44)</f>
        <v>0</v>
      </c>
      <c r="I45" s="523">
        <f>IF(AND(B44&lt;B43,I44=I43,I44&gt;0),I43+(B43-B44)/K44,I44)</f>
        <v>0</v>
      </c>
    </row>
    <row r="46" spans="1:11" hidden="1">
      <c r="A46" s="1339">
        <f>IF(B46&gt;0,"Heizkosten",0)</f>
        <v>0</v>
      </c>
      <c r="B46" s="1335">
        <f>SUM(C46:I46)</f>
        <v>0</v>
      </c>
      <c r="C46" s="522">
        <f>IF(Zusatzeingaben!$K$18&gt;0,C44,C45)</f>
        <v>0</v>
      </c>
      <c r="D46" s="522">
        <f>IF(Zusatzeingaben!$K$18&gt;0,D44,D45)</f>
        <v>0</v>
      </c>
      <c r="E46" s="522">
        <f>IF(Zusatzeingaben!$K$18&gt;0,E44,E45)</f>
        <v>0</v>
      </c>
      <c r="F46" s="522">
        <f>IF(Zusatzeingaben!$K$18&gt;0,F44,F45)</f>
        <v>0</v>
      </c>
      <c r="G46" s="522">
        <f>IF(Zusatzeingaben!$K$18&gt;0,G44,G45)</f>
        <v>0</v>
      </c>
      <c r="H46" s="522">
        <f>IF(Zusatzeingaben!$K$18&gt;0,H44,H45)</f>
        <v>0</v>
      </c>
      <c r="I46" s="523">
        <f>IF(Zusatzeingaben!$K$18&gt;0,I44,I45)</f>
        <v>0</v>
      </c>
    </row>
    <row r="47" spans="1:11" hidden="1">
      <c r="A47" s="1342" t="s">
        <v>2165</v>
      </c>
      <c r="B47" s="1343">
        <f t="shared" ref="B47:I47" si="1">B24-B29+B33+B37-B42+B46</f>
        <v>0</v>
      </c>
      <c r="C47" s="1343">
        <f t="shared" si="1"/>
        <v>0</v>
      </c>
      <c r="D47" s="1343">
        <f t="shared" si="1"/>
        <v>0</v>
      </c>
      <c r="E47" s="1343">
        <f t="shared" si="1"/>
        <v>0</v>
      </c>
      <c r="F47" s="1343">
        <f t="shared" si="1"/>
        <v>0</v>
      </c>
      <c r="G47" s="1343">
        <f t="shared" si="1"/>
        <v>0</v>
      </c>
      <c r="H47" s="1343">
        <f t="shared" si="1"/>
        <v>0</v>
      </c>
      <c r="I47" s="1344">
        <f t="shared" si="1"/>
        <v>0</v>
      </c>
    </row>
    <row r="48" spans="1:11" ht="17.25" hidden="1" customHeight="1">
      <c r="A48" s="1345">
        <f>IF(B49&gt;0,"Sonstiger Bedarf",0)</f>
        <v>0</v>
      </c>
      <c r="B48" s="1346"/>
      <c r="C48" s="1347"/>
      <c r="D48" s="1347"/>
      <c r="E48" s="1347"/>
      <c r="F48" s="1347"/>
      <c r="G48" s="1347"/>
      <c r="H48" s="1347"/>
      <c r="I48" s="1348"/>
    </row>
    <row r="49" spans="1:9" ht="16.5" hidden="1" customHeight="1">
      <c r="A49" s="1349">
        <f>IF(B49&gt;0,Zusatzeingaben!A117,0)</f>
        <v>0</v>
      </c>
      <c r="B49" s="1350">
        <f>SUM(C49:I49)</f>
        <v>0</v>
      </c>
      <c r="C49" s="1351">
        <f>Zusatzeingaben!C117</f>
        <v>0</v>
      </c>
      <c r="D49" s="1351">
        <f>Zusatzeingaben!D117</f>
        <v>0</v>
      </c>
      <c r="E49" s="1351">
        <f>Zusatzeingaben!E117</f>
        <v>0</v>
      </c>
      <c r="F49" s="1351">
        <f>Zusatzeingaben!F117</f>
        <v>0</v>
      </c>
      <c r="G49" s="1351">
        <f>Zusatzeingaben!G117</f>
        <v>0</v>
      </c>
      <c r="H49" s="1351">
        <f>Zusatzeingaben!H117</f>
        <v>0</v>
      </c>
      <c r="I49" s="1352">
        <f>Zusatzeingaben!I117</f>
        <v>0</v>
      </c>
    </row>
    <row r="50" spans="1:9" ht="23.25" hidden="1" customHeight="1">
      <c r="A50" s="1353" t="s">
        <v>2166</v>
      </c>
      <c r="B50" s="1354">
        <f>SUM(C50:I50)</f>
        <v>449</v>
      </c>
      <c r="C50" s="1354">
        <f t="shared" ref="C50:I50" si="2">C11+C13+C14+C15+C16+C17+C18+C19+C47+C49</f>
        <v>449</v>
      </c>
      <c r="D50" s="1354">
        <f t="shared" si="2"/>
        <v>0</v>
      </c>
      <c r="E50" s="1354">
        <f t="shared" si="2"/>
        <v>0</v>
      </c>
      <c r="F50" s="1354">
        <f t="shared" si="2"/>
        <v>0</v>
      </c>
      <c r="G50" s="1354">
        <f t="shared" si="2"/>
        <v>0</v>
      </c>
      <c r="H50" s="1354">
        <f t="shared" si="2"/>
        <v>0</v>
      </c>
      <c r="I50" s="1355">
        <f t="shared" si="2"/>
        <v>0</v>
      </c>
    </row>
    <row r="51" spans="1:9" ht="20.100000000000001" hidden="1" customHeight="1">
      <c r="C51" s="966">
        <f>VLOOKUP(E3,Bedarfssätze!B7:C14,2)</f>
        <v>391</v>
      </c>
      <c r="D51" s="966">
        <f>VLOOKUP(E3,Bedarfssätze!E7:F14,2)</f>
        <v>353</v>
      </c>
      <c r="E51" s="966">
        <f>VLOOKUP(E3,Bedarfssätze!B26:C33,2)</f>
        <v>296</v>
      </c>
      <c r="F51" s="966">
        <f>VLOOKUP(E3,Bedarfssätze!E26:F33,2)</f>
        <v>261</v>
      </c>
      <c r="G51" s="966">
        <f>VLOOKUP(E3,Bedarfssätze!H26:I33,2)</f>
        <v>229</v>
      </c>
      <c r="H51" s="966">
        <f>VLOOKUP(E3,Bedarfssätze!H7:I14,2)</f>
        <v>313</v>
      </c>
    </row>
    <row r="52" spans="1:9" ht="23.25" hidden="1">
      <c r="A52" s="1319"/>
      <c r="B52" s="1320" t="s">
        <v>175</v>
      </c>
      <c r="C52" s="1316"/>
      <c r="D52" s="1316"/>
      <c r="E52" s="1316"/>
      <c r="F52" s="1316"/>
      <c r="G52" s="1316"/>
      <c r="H52" s="1316"/>
      <c r="I52" s="1321"/>
    </row>
    <row r="53" spans="1:9" ht="17.25" hidden="1" customHeight="1">
      <c r="A53" s="839"/>
      <c r="B53" s="1322" t="s">
        <v>246</v>
      </c>
      <c r="C53" s="1322" t="str">
        <f>Zusatzeingaben!C4</f>
        <v>Antragsteller</v>
      </c>
      <c r="D53" s="1322" t="str">
        <f>Zusatzeingaben!D4</f>
        <v>Partner(in)</v>
      </c>
      <c r="E53" s="1322" t="str">
        <f>Zusatzeingaben!E4</f>
        <v>Kind 1</v>
      </c>
      <c r="F53" s="1322" t="s">
        <v>145</v>
      </c>
      <c r="G53" s="1322" t="s">
        <v>146</v>
      </c>
      <c r="H53" s="1322" t="s">
        <v>147</v>
      </c>
      <c r="I53" s="1323" t="s">
        <v>148</v>
      </c>
    </row>
    <row r="54" spans="1:9" hidden="1">
      <c r="A54" s="1345" t="s">
        <v>2167</v>
      </c>
      <c r="B54" s="1356">
        <f t="shared" ref="B54:B67" si="3">SUM(C54:I54)</f>
        <v>0</v>
      </c>
      <c r="C54" s="1346">
        <f>Zusatzeingaben!C140</f>
        <v>0</v>
      </c>
      <c r="D54" s="1346">
        <f>Zusatzeingaben!D140</f>
        <v>0</v>
      </c>
      <c r="E54" s="1346">
        <f>Zusatzeingaben!E140</f>
        <v>0</v>
      </c>
      <c r="F54" s="1346">
        <f>Zusatzeingaben!F140</f>
        <v>0</v>
      </c>
      <c r="G54" s="1346">
        <f>Zusatzeingaben!G140</f>
        <v>0</v>
      </c>
      <c r="H54" s="1346">
        <f>Zusatzeingaben!H140</f>
        <v>0</v>
      </c>
      <c r="I54" s="1346">
        <f>Zusatzeingaben!I140</f>
        <v>0</v>
      </c>
    </row>
    <row r="55" spans="1:9" hidden="1">
      <c r="A55" s="976">
        <f>IF(B55&gt;0,"Nettolohn",0)</f>
        <v>0</v>
      </c>
      <c r="B55" s="1335">
        <f t="shared" si="3"/>
        <v>0</v>
      </c>
      <c r="C55" s="522">
        <f>Zusatzeingaben!C133</f>
        <v>0</v>
      </c>
      <c r="D55" s="522">
        <f>Zusatzeingaben!D133</f>
        <v>0</v>
      </c>
      <c r="E55" s="522">
        <f>Zusatzeingaben!E133</f>
        <v>0</v>
      </c>
      <c r="F55" s="522">
        <f>Zusatzeingaben!F133</f>
        <v>0</v>
      </c>
      <c r="G55" s="522">
        <f>Zusatzeingaben!G133</f>
        <v>0</v>
      </c>
      <c r="H55" s="522">
        <f>Zusatzeingaben!H133</f>
        <v>0</v>
      </c>
      <c r="I55" s="523">
        <f>Zusatzeingaben!I133</f>
        <v>0</v>
      </c>
    </row>
    <row r="56" spans="1:9" hidden="1">
      <c r="A56" s="976">
        <f>IF(B56&gt;0,"Ausbildungsvergütung (netto)",0)</f>
        <v>0</v>
      </c>
      <c r="B56" s="1335">
        <f t="shared" si="3"/>
        <v>0</v>
      </c>
      <c r="C56" s="522">
        <f>Zusatzeingaben!C137</f>
        <v>0</v>
      </c>
      <c r="D56" s="522">
        <f>Zusatzeingaben!D137</f>
        <v>0</v>
      </c>
      <c r="E56" s="522">
        <f>Zusatzeingaben!E137</f>
        <v>0</v>
      </c>
      <c r="F56" s="522">
        <f>Zusatzeingaben!F137</f>
        <v>0</v>
      </c>
      <c r="G56" s="522">
        <f>Zusatzeingaben!G137</f>
        <v>0</v>
      </c>
      <c r="H56" s="522">
        <f>Zusatzeingaben!H137</f>
        <v>0</v>
      </c>
      <c r="I56" s="523">
        <f>Zusatzeingaben!I137</f>
        <v>0</v>
      </c>
    </row>
    <row r="57" spans="1:9" hidden="1">
      <c r="A57" s="976">
        <f>IF(B57&gt;0,Zusatzeingaben!A139,0)</f>
        <v>0</v>
      </c>
      <c r="B57" s="1335">
        <f t="shared" si="3"/>
        <v>0</v>
      </c>
      <c r="C57" s="522">
        <f>Zusatzeingaben!C139</f>
        <v>0</v>
      </c>
      <c r="D57" s="522">
        <f>Zusatzeingaben!D139</f>
        <v>0</v>
      </c>
      <c r="E57" s="522">
        <f>Zusatzeingaben!E139</f>
        <v>0</v>
      </c>
      <c r="F57" s="522">
        <f>Zusatzeingaben!F139</f>
        <v>0</v>
      </c>
      <c r="G57" s="522">
        <f>Zusatzeingaben!G139</f>
        <v>0</v>
      </c>
      <c r="H57" s="522">
        <f>Zusatzeingaben!H139</f>
        <v>0</v>
      </c>
      <c r="I57" s="523">
        <f>Zusatzeingaben!I139</f>
        <v>0</v>
      </c>
    </row>
    <row r="58" spans="1:9" hidden="1">
      <c r="A58" s="976">
        <f>IF(B58&gt;0,"steuerfreie Einnahmen Ehrenamt o.ä.",0)</f>
        <v>0</v>
      </c>
      <c r="B58" s="1335">
        <f t="shared" si="3"/>
        <v>0</v>
      </c>
      <c r="C58" s="522">
        <f>Zusatzeingaben!C138</f>
        <v>0</v>
      </c>
      <c r="D58" s="522">
        <f>Zusatzeingaben!D138</f>
        <v>0</v>
      </c>
      <c r="E58" s="522">
        <f>Zusatzeingaben!E138</f>
        <v>0</v>
      </c>
      <c r="F58" s="522">
        <f>Zusatzeingaben!F138</f>
        <v>0</v>
      </c>
      <c r="G58" s="522">
        <f>Zusatzeingaben!G138</f>
        <v>0</v>
      </c>
      <c r="H58" s="522">
        <f>Zusatzeingaben!H138</f>
        <v>0</v>
      </c>
      <c r="I58" s="523">
        <f>Zusatzeingaben!I138</f>
        <v>0</v>
      </c>
    </row>
    <row r="59" spans="1:9" hidden="1">
      <c r="A59" s="976">
        <f>IF(B59&gt;0,"Einkommen aus Freiwilligendienste",0)</f>
        <v>0</v>
      </c>
      <c r="B59" s="1335">
        <f t="shared" si="3"/>
        <v>0</v>
      </c>
      <c r="C59" s="522">
        <f>Zusatzeingaben!C170</f>
        <v>0</v>
      </c>
      <c r="D59" s="522">
        <f>Zusatzeingaben!D170</f>
        <v>0</v>
      </c>
      <c r="E59" s="522">
        <f>Zusatzeingaben!E170</f>
        <v>0</v>
      </c>
      <c r="F59" s="522">
        <f>Zusatzeingaben!F170</f>
        <v>0</v>
      </c>
      <c r="G59" s="522">
        <f>Zusatzeingaben!G170</f>
        <v>0</v>
      </c>
      <c r="H59" s="522">
        <f>Zusatzeingaben!H170</f>
        <v>0</v>
      </c>
      <c r="I59" s="523">
        <f>Zusatzeingaben!I170</f>
        <v>0</v>
      </c>
    </row>
    <row r="60" spans="1:9" hidden="1">
      <c r="A60" s="976">
        <f>IF(B60&gt;0,"Elterngeld",0)</f>
        <v>0</v>
      </c>
      <c r="B60" s="1335">
        <f t="shared" si="3"/>
        <v>0</v>
      </c>
      <c r="C60" s="522">
        <f>Zusatzeingaben!C174</f>
        <v>0</v>
      </c>
      <c r="D60" s="522">
        <f>Zusatzeingaben!D174</f>
        <v>0</v>
      </c>
      <c r="E60" s="522"/>
      <c r="F60" s="522"/>
      <c r="G60" s="522"/>
      <c r="H60" s="522"/>
      <c r="I60" s="523"/>
    </row>
    <row r="61" spans="1:9" hidden="1">
      <c r="A61" s="976">
        <f>IF(B61&gt;0,Zusatzeingaben!A180,0)</f>
        <v>0</v>
      </c>
      <c r="B61" s="1335">
        <f t="shared" si="3"/>
        <v>0</v>
      </c>
      <c r="C61" s="522">
        <f>Zusatzeingaben!C180</f>
        <v>0</v>
      </c>
      <c r="D61" s="522">
        <f>Zusatzeingaben!D180</f>
        <v>0</v>
      </c>
      <c r="E61" s="522">
        <f>Zusatzeingaben!E180</f>
        <v>0</v>
      </c>
      <c r="F61" s="522">
        <f>Zusatzeingaben!F180</f>
        <v>0</v>
      </c>
      <c r="G61" s="522"/>
      <c r="H61" s="522"/>
      <c r="I61" s="523"/>
    </row>
    <row r="62" spans="1:9" hidden="1">
      <c r="A62" s="976">
        <f>IF(B62&gt;0,"Kindergeld",0)</f>
        <v>0</v>
      </c>
      <c r="B62" s="1335">
        <f t="shared" si="3"/>
        <v>0</v>
      </c>
      <c r="C62" s="522">
        <f>Zusatzeingaben!C192</f>
        <v>0</v>
      </c>
      <c r="D62" s="522">
        <f>Zusatzeingaben!D192</f>
        <v>0</v>
      </c>
      <c r="E62" s="522">
        <f>Zusatzeingaben!E192</f>
        <v>0</v>
      </c>
      <c r="F62" s="522">
        <f>Zusatzeingaben!F192</f>
        <v>0</v>
      </c>
      <c r="G62" s="522">
        <f>Zusatzeingaben!G192</f>
        <v>0</v>
      </c>
      <c r="H62" s="522">
        <f>Zusatzeingaben!H192</f>
        <v>0</v>
      </c>
      <c r="I62" s="523">
        <f>Zusatzeingaben!I192</f>
        <v>0</v>
      </c>
    </row>
    <row r="63" spans="1:9" hidden="1">
      <c r="A63" s="976">
        <f>IF(B63&gt;0,"Unterhalt/Unterhaltsvorschuss",0)</f>
        <v>0</v>
      </c>
      <c r="B63" s="1335">
        <f t="shared" si="3"/>
        <v>0</v>
      </c>
      <c r="C63" s="522">
        <f>Zusatzeingaben!C195</f>
        <v>0</v>
      </c>
      <c r="D63" s="522">
        <f>Zusatzeingaben!D195</f>
        <v>0</v>
      </c>
      <c r="E63" s="522">
        <f>Zusatzeingaben!E195</f>
        <v>0</v>
      </c>
      <c r="F63" s="522">
        <f>Zusatzeingaben!F195</f>
        <v>0</v>
      </c>
      <c r="G63" s="522">
        <f>Zusatzeingaben!G195</f>
        <v>0</v>
      </c>
      <c r="H63" s="522">
        <f>Zusatzeingaben!H195</f>
        <v>0</v>
      </c>
      <c r="I63" s="523">
        <f>Zusatzeingaben!I195</f>
        <v>0</v>
      </c>
    </row>
    <row r="64" spans="1:9" hidden="1">
      <c r="A64" s="976">
        <f>IF(B64&gt;0,Zusatzeingaben!A196,0)</f>
        <v>0</v>
      </c>
      <c r="B64" s="1335">
        <f t="shared" si="3"/>
        <v>0</v>
      </c>
      <c r="C64" s="522">
        <f>Zusatzeingaben!C196</f>
        <v>0</v>
      </c>
      <c r="D64" s="522">
        <f>Zusatzeingaben!D196</f>
        <v>0</v>
      </c>
      <c r="E64" s="522">
        <f>Zusatzeingaben!E196</f>
        <v>0</v>
      </c>
      <c r="F64" s="522">
        <f>Zusatzeingaben!F196</f>
        <v>0</v>
      </c>
      <c r="G64" s="522">
        <f>Zusatzeingaben!G196</f>
        <v>0</v>
      </c>
      <c r="H64" s="522">
        <f>Zusatzeingaben!H196</f>
        <v>0</v>
      </c>
      <c r="I64" s="523">
        <f>Zusatzeingaben!I196</f>
        <v>0</v>
      </c>
    </row>
    <row r="65" spans="1:9" hidden="1">
      <c r="A65" s="976">
        <f>IF(B65&gt;0,"Altersrente",0)</f>
        <v>0</v>
      </c>
      <c r="B65" s="1335">
        <f t="shared" si="3"/>
        <v>0</v>
      </c>
      <c r="C65" s="522">
        <f>Zusatzeingaben!C197</f>
        <v>0</v>
      </c>
      <c r="D65" s="522">
        <f>Zusatzeingaben!D197</f>
        <v>0</v>
      </c>
      <c r="E65" s="522">
        <f>Zusatzeingaben!E197</f>
        <v>0</v>
      </c>
      <c r="F65" s="522">
        <f>Zusatzeingaben!F197</f>
        <v>0</v>
      </c>
      <c r="G65" s="522">
        <f>Zusatzeingaben!G197</f>
        <v>0</v>
      </c>
      <c r="H65" s="522">
        <f>Zusatzeingaben!H197</f>
        <v>0</v>
      </c>
      <c r="I65" s="523">
        <f>Zusatzeingaben!I197</f>
        <v>0</v>
      </c>
    </row>
    <row r="66" spans="1:9" hidden="1">
      <c r="A66" s="976">
        <f>IF(B66&gt;0,Zusatzeingaben!A198,0)</f>
        <v>0</v>
      </c>
      <c r="B66" s="1335">
        <f t="shared" si="3"/>
        <v>0</v>
      </c>
      <c r="C66" s="522">
        <f>Zusatzeingaben!C198</f>
        <v>0</v>
      </c>
      <c r="D66" s="522">
        <f>Zusatzeingaben!D198</f>
        <v>0</v>
      </c>
      <c r="E66" s="522">
        <f>Zusatzeingaben!E198</f>
        <v>0</v>
      </c>
      <c r="F66" s="522">
        <f>Zusatzeingaben!F198</f>
        <v>0</v>
      </c>
      <c r="G66" s="522">
        <f>Zusatzeingaben!G198</f>
        <v>0</v>
      </c>
      <c r="H66" s="522">
        <f>Zusatzeingaben!H198</f>
        <v>0</v>
      </c>
      <c r="I66" s="523">
        <f>Zusatzeingaben!I198</f>
        <v>0</v>
      </c>
    </row>
    <row r="67" spans="1:9" ht="16.5" hidden="1" customHeight="1">
      <c r="A67" s="1022">
        <f>IF(B67&gt;0,Zusatzeingaben!A199,0)</f>
        <v>0</v>
      </c>
      <c r="B67" s="1357">
        <f t="shared" si="3"/>
        <v>0</v>
      </c>
      <c r="C67" s="1024">
        <f>Zusatzeingaben!C199</f>
        <v>0</v>
      </c>
      <c r="D67" s="1024">
        <f>Zusatzeingaben!D199</f>
        <v>0</v>
      </c>
      <c r="E67" s="1024">
        <f>Zusatzeingaben!E199</f>
        <v>0</v>
      </c>
      <c r="F67" s="1024">
        <f>Zusatzeingaben!F199</f>
        <v>0</v>
      </c>
      <c r="G67" s="1024">
        <f>Zusatzeingaben!G199</f>
        <v>0</v>
      </c>
      <c r="H67" s="1024">
        <f>Zusatzeingaben!H199</f>
        <v>0</v>
      </c>
      <c r="I67" s="1025">
        <f>Zusatzeingaben!I199</f>
        <v>0</v>
      </c>
    </row>
    <row r="68" spans="1:9" hidden="1">
      <c r="A68" s="1248"/>
      <c r="B68" s="1358"/>
      <c r="C68" s="634">
        <f t="shared" ref="C68:I68" si="4">SUM(C60:C67)</f>
        <v>0</v>
      </c>
      <c r="D68" s="634">
        <f t="shared" si="4"/>
        <v>0</v>
      </c>
      <c r="E68" s="634">
        <f t="shared" si="4"/>
        <v>0</v>
      </c>
      <c r="F68" s="634">
        <f t="shared" si="4"/>
        <v>0</v>
      </c>
      <c r="G68" s="634">
        <f t="shared" si="4"/>
        <v>0</v>
      </c>
      <c r="H68" s="634">
        <f t="shared" si="4"/>
        <v>0</v>
      </c>
      <c r="I68" s="635">
        <f t="shared" si="4"/>
        <v>0</v>
      </c>
    </row>
    <row r="69" spans="1:9" hidden="1">
      <c r="A69" s="1359" t="s">
        <v>208</v>
      </c>
      <c r="B69" s="1360">
        <f>SUM(C69:I69)</f>
        <v>0</v>
      </c>
      <c r="C69" s="1031">
        <f t="shared" ref="C69:I69" si="5">SUM(C55:C67)</f>
        <v>0</v>
      </c>
      <c r="D69" s="1031">
        <f t="shared" si="5"/>
        <v>0</v>
      </c>
      <c r="E69" s="1031">
        <f t="shared" si="5"/>
        <v>0</v>
      </c>
      <c r="F69" s="1031">
        <f t="shared" si="5"/>
        <v>0</v>
      </c>
      <c r="G69" s="1031">
        <f t="shared" si="5"/>
        <v>0</v>
      </c>
      <c r="H69" s="1031">
        <f t="shared" si="5"/>
        <v>0</v>
      </c>
      <c r="I69" s="1032">
        <f t="shared" si="5"/>
        <v>0</v>
      </c>
    </row>
    <row r="70" spans="1:9" ht="16.5" hidden="1" customHeight="1">
      <c r="A70" s="1341"/>
      <c r="B70" s="522"/>
      <c r="C70" s="507">
        <f>IF(AND(Zusatzeingaben!C161&gt;0,Zusatzeingaben!C164=Zusatzeingaben!C161),0,Zusatzeingaben!C203)</f>
        <v>0</v>
      </c>
      <c r="D70" s="507">
        <f>IF(AND(Zusatzeingaben!D161&gt;0,Zusatzeingaben!D164=Zusatzeingaben!D161),0,Zusatzeingaben!D203)</f>
        <v>0</v>
      </c>
      <c r="E70" s="507">
        <f>IF(AND(Zusatzeingaben!E161&gt;0,Zusatzeingaben!E164=Zusatzeingaben!E161),0,Zusatzeingaben!E203)</f>
        <v>0</v>
      </c>
      <c r="F70" s="507">
        <f>IF(AND(Zusatzeingaben!F161&gt;0,Zusatzeingaben!F164=Zusatzeingaben!F161),0,Zusatzeingaben!F203)</f>
        <v>0</v>
      </c>
      <c r="G70" s="507">
        <f>IF(AND(Zusatzeingaben!G161&gt;0,Zusatzeingaben!G164=Zusatzeingaben!G161),0,Zusatzeingaben!G203)</f>
        <v>0</v>
      </c>
      <c r="H70" s="507">
        <f>IF(AND(Zusatzeingaben!H161&gt;0,Zusatzeingaben!H164=Zusatzeingaben!H161),0,Zusatzeingaben!H203)</f>
        <v>0</v>
      </c>
      <c r="I70" s="508">
        <f>IF(AND(Zusatzeingaben!I161&gt;0,Zusatzeingaben!I164=Zusatzeingaben!I161),0,Zusatzeingaben!I203)</f>
        <v>0</v>
      </c>
    </row>
    <row r="71" spans="1:9" ht="16.5" hidden="1" customHeight="1">
      <c r="A71" s="1341"/>
      <c r="B71" s="522"/>
      <c r="C71" s="507">
        <f>IF(AND(Zusatzeingaben!C215&gt;C112,C77&lt;0),C70+C77,C70)</f>
        <v>0</v>
      </c>
      <c r="D71" s="507">
        <f>IF(AND(Zusatzeingaben!D215&gt;D112,D77&lt;0),D70+D77,D70)</f>
        <v>0</v>
      </c>
      <c r="E71" s="507">
        <f>IF(AND(Zusatzeingaben!E215&gt;E112,E77&lt;0),E70+E77,E70)</f>
        <v>0</v>
      </c>
      <c r="F71" s="507">
        <f>IF(AND(Zusatzeingaben!F215&gt;F112,F77&lt;0),F70+F77,F70)</f>
        <v>0</v>
      </c>
      <c r="G71" s="507">
        <f>IF(AND(Zusatzeingaben!G215&gt;G112,G77&lt;0),G70+G77,G70)</f>
        <v>0</v>
      </c>
      <c r="H71" s="507">
        <f>IF(AND(Zusatzeingaben!H215&gt;H112,H77&lt;0),H70+H77,H70)</f>
        <v>0</v>
      </c>
      <c r="I71" s="508">
        <f>IF(AND(Zusatzeingaben!I215&gt;I112,I77&lt;0),I70+I77,I70)</f>
        <v>0</v>
      </c>
    </row>
    <row r="72" spans="1:9" ht="16.5" hidden="1" customHeight="1">
      <c r="A72" s="1341"/>
      <c r="B72" s="522"/>
      <c r="C72" s="507">
        <f>IF(AND(C112&gt;0,Zusatzeingaben!C215&lt;C112),0,C71)</f>
        <v>0</v>
      </c>
      <c r="D72" s="507">
        <f>IF(AND(D112&gt;0,Zusatzeingaben!D215&lt;D112),0,D71)</f>
        <v>0</v>
      </c>
      <c r="E72" s="507">
        <f>IF(AND(E112&gt;0,Zusatzeingaben!E215&lt;E112),0,E71)</f>
        <v>0</v>
      </c>
      <c r="F72" s="507">
        <f>IF(AND(F112&gt;0,Zusatzeingaben!F215&lt;F112),0,F71)</f>
        <v>0</v>
      </c>
      <c r="G72" s="507">
        <f>IF(AND(G112&gt;0,Zusatzeingaben!G215&lt;G112),0,G71)</f>
        <v>0</v>
      </c>
      <c r="H72" s="507">
        <f>IF(AND(H112&gt;0,Zusatzeingaben!H215&lt;H112),0,H71)</f>
        <v>0</v>
      </c>
      <c r="I72" s="508">
        <f>IF(AND(I112&gt;0,Zusatzeingaben!I215&lt;I112),0,I71)</f>
        <v>0</v>
      </c>
    </row>
    <row r="73" spans="1:9" ht="16.5" hidden="1" customHeight="1">
      <c r="A73" s="1341"/>
      <c r="B73" s="522"/>
      <c r="C73" s="507">
        <f>IF(C112=0,Zusatzeingaben!C203,0)</f>
        <v>0</v>
      </c>
      <c r="D73" s="507">
        <f>IF(D112=0,Zusatzeingaben!D203,0)</f>
        <v>0</v>
      </c>
      <c r="E73" s="507">
        <f>IF(E112=0,Zusatzeingaben!E203,0)</f>
        <v>0</v>
      </c>
      <c r="F73" s="507">
        <f>IF(F112=0,Zusatzeingaben!F203,0)</f>
        <v>0</v>
      </c>
      <c r="G73" s="507">
        <f>IF(G112=0,Zusatzeingaben!G203,0)</f>
        <v>0</v>
      </c>
      <c r="H73" s="507">
        <f>IF(H112=0,Zusatzeingaben!H203,0)</f>
        <v>0</v>
      </c>
      <c r="I73" s="508">
        <f>IF(I112=0,Zusatzeingaben!I203,0)</f>
        <v>0</v>
      </c>
    </row>
    <row r="74" spans="1:9" ht="16.5" hidden="1" customHeight="1">
      <c r="A74" s="1341"/>
      <c r="B74" s="1361"/>
      <c r="C74" s="634">
        <f t="shared" ref="C74:I74" si="6">IF(C73=30,C73,C72)</f>
        <v>0</v>
      </c>
      <c r="D74" s="634">
        <f t="shared" si="6"/>
        <v>0</v>
      </c>
      <c r="E74" s="634">
        <f t="shared" si="6"/>
        <v>0</v>
      </c>
      <c r="F74" s="634">
        <f t="shared" si="6"/>
        <v>0</v>
      </c>
      <c r="G74" s="634">
        <f t="shared" si="6"/>
        <v>0</v>
      </c>
      <c r="H74" s="634">
        <f t="shared" si="6"/>
        <v>0</v>
      </c>
      <c r="I74" s="635">
        <f t="shared" si="6"/>
        <v>0</v>
      </c>
    </row>
    <row r="75" spans="1:9" hidden="1">
      <c r="A75" s="1362">
        <f>IF(B75&gt;0,"./. Versicherungspauschale",0)</f>
        <v>0</v>
      </c>
      <c r="B75" s="1331">
        <f>SUM(C75:I75)</f>
        <v>0</v>
      </c>
      <c r="C75" s="1363">
        <f>IF(C69=0,0,IF(C74&lt;0,0,IF(AND(C113&gt;0,C54&lt;=400),0,IF(AND(C113&gt;0,Zusatzeingaben!C141=0),0,IF(AND(C61&gt;0,C119=Zusatzeingaben!C189,Zusatzeingaben!C189&gt;0),0,C74)))))</f>
        <v>0</v>
      </c>
      <c r="D75" s="1363">
        <f>IF(D69=0,0,IF(D74&lt;0,0,IF(AND(D113&gt;0,D54&lt;=400),0,IF(AND(D113&gt;0,Zusatzeingaben!D141=0),0,IF(AND(D61&gt;0,D119=Zusatzeingaben!D189,Zusatzeingaben!D189&gt;0),0,D74)))))</f>
        <v>0</v>
      </c>
      <c r="E75" s="1363">
        <f>IF(E69=0,0,IF(E74&lt;0,0,IF(AND(E113&gt;0,E54&lt;=400),0,IF(AND(E113&gt;0,Zusatzeingaben!E141=0),0,IF(AND(E61&gt;0,E119=Zusatzeingaben!E189,Zusatzeingaben!E189&gt;0),0,E74)))))</f>
        <v>0</v>
      </c>
      <c r="F75" s="1363">
        <f>IF(F69=0,0,IF(F74&lt;0,0,IF(AND(F113&gt;0,F54&lt;=400),0,IF(AND(F113&gt;0,Zusatzeingaben!F141=0),0,IF(AND(F61&gt;0,F119=Zusatzeingaben!F189,Zusatzeingaben!F189&gt;0),0,F74)))))</f>
        <v>0</v>
      </c>
      <c r="G75" s="1363">
        <f>IF(G69=0,0,IF(G74&lt;0,0,IF(AND(G113&gt;0,G54&lt;=400),0,IF(AND(G113&gt;0,Zusatzeingaben!G141=0),0,IF(AND(G61&gt;0,G119=Zusatzeingaben!G189,Zusatzeingaben!G189&gt;0),0,G74)))))</f>
        <v>0</v>
      </c>
      <c r="H75" s="1363">
        <f>IF(H69=0,0,IF(H74&lt;0,0,IF(AND(H113&gt;0,H54&lt;=400),0,IF(AND(H113&gt;0,Zusatzeingaben!H141=0),0,IF(AND(H61&gt;0,H119=Zusatzeingaben!H189,Zusatzeingaben!H189&gt;0),0,H74)))))</f>
        <v>0</v>
      </c>
      <c r="I75" s="1364">
        <f>IF(I69=0,0,IF(I74&lt;0,0,IF(AND(I113&gt;0,I54&lt;=400),0,IF(AND(I113&gt;0,Zusatzeingaben!I141=0),0,IF(AND(I61&gt;0,I119=Zusatzeingaben!I189,Zusatzeingaben!I189&gt;0),0,I74)))))</f>
        <v>0</v>
      </c>
    </row>
    <row r="76" spans="1:9" hidden="1">
      <c r="A76" s="1341"/>
      <c r="B76" s="522"/>
      <c r="C76" s="507">
        <f>IF(AND(Zusatzeingaben!C161&gt;0,Zusatzeingaben!C164=Zusatzeingaben!C161),0,Zusatzeingaben!C204-Zusatzeingaben!C161)</f>
        <v>0</v>
      </c>
      <c r="D76" s="507">
        <f>IF(AND(Zusatzeingaben!D161&gt;0,Zusatzeingaben!D164=Zusatzeingaben!D161),0,Zusatzeingaben!D204-Zusatzeingaben!D161)</f>
        <v>0</v>
      </c>
      <c r="E76" s="507">
        <f>IF(AND(Zusatzeingaben!E161&gt;0,Zusatzeingaben!E164=Zusatzeingaben!E161),0,Zusatzeingaben!E204-Zusatzeingaben!E161)</f>
        <v>0</v>
      </c>
      <c r="F76" s="507">
        <f>IF(AND(Zusatzeingaben!F161&gt;0,Zusatzeingaben!F164=Zusatzeingaben!F161),0,Zusatzeingaben!F204-Zusatzeingaben!F161)</f>
        <v>0</v>
      </c>
      <c r="G76" s="507">
        <f>IF(AND(Zusatzeingaben!G161&gt;0,Zusatzeingaben!G164=Zusatzeingaben!G161),0,Zusatzeingaben!G204-Zusatzeingaben!G161)</f>
        <v>0</v>
      </c>
      <c r="H76" s="507">
        <f>IF(AND(Zusatzeingaben!H161&gt;0,Zusatzeingaben!H164=Zusatzeingaben!H161),0,Zusatzeingaben!H204-Zusatzeingaben!H161)</f>
        <v>0</v>
      </c>
      <c r="I76" s="508">
        <f>IF(AND(Zusatzeingaben!I161&gt;0,Zusatzeingaben!I164=Zusatzeingaben!I161),0,Zusatzeingaben!I204-Zusatzeingaben!I161)</f>
        <v>0</v>
      </c>
    </row>
    <row r="77" spans="1:9" hidden="1">
      <c r="A77" s="1341"/>
      <c r="B77" s="522"/>
      <c r="C77" s="507">
        <f>IF(AND(C70&gt;0,C76&gt;Zusatzeingaben!C204),Zusatzeingaben!C204,C76)</f>
        <v>0</v>
      </c>
      <c r="D77" s="507">
        <f>IF(AND(D70&gt;0,D76&gt;Zusatzeingaben!D204),Zusatzeingaben!D204,D76)</f>
        <v>0</v>
      </c>
      <c r="E77" s="507">
        <f>IF(AND(E70&gt;0,E76&gt;Zusatzeingaben!E204),Zusatzeingaben!E204,E76)</f>
        <v>0</v>
      </c>
      <c r="F77" s="507">
        <f>IF(AND(F70&gt;0,F76&gt;Zusatzeingaben!F204),Zusatzeingaben!F204,F76)</f>
        <v>0</v>
      </c>
      <c r="G77" s="507">
        <f>IF(AND(G70&gt;0,G76&gt;Zusatzeingaben!G204),Zusatzeingaben!G204,G76)</f>
        <v>0</v>
      </c>
      <c r="H77" s="507">
        <f>IF(AND(H70&gt;0,H76&gt;Zusatzeingaben!H204),Zusatzeingaben!H204,H76)</f>
        <v>0</v>
      </c>
      <c r="I77" s="508">
        <f>IF(AND(I70&gt;0,I76&gt;Zusatzeingaben!I204),Zusatzeingaben!I204,I76)</f>
        <v>0</v>
      </c>
    </row>
    <row r="78" spans="1:9" hidden="1">
      <c r="A78" s="1341"/>
      <c r="B78" s="522"/>
      <c r="C78" s="507">
        <f>IF(C112=0,Zusatzeingaben!C204,0)</f>
        <v>0</v>
      </c>
      <c r="D78" s="507">
        <f>IF(D112=0,Zusatzeingaben!D204,0)</f>
        <v>0</v>
      </c>
      <c r="E78" s="507">
        <f>IF(E112=0,Zusatzeingaben!E204,0)</f>
        <v>0</v>
      </c>
      <c r="F78" s="507">
        <f>IF(F112=0,Zusatzeingaben!F204,0)</f>
        <v>0</v>
      </c>
      <c r="G78" s="507">
        <f>IF(G112=0,Zusatzeingaben!G204,0)</f>
        <v>0</v>
      </c>
      <c r="H78" s="507">
        <f>IF(H112=0,Zusatzeingaben!H204,0)</f>
        <v>0</v>
      </c>
      <c r="I78" s="508">
        <f>IF(I112=0,Zusatzeingaben!I204,0)</f>
        <v>0</v>
      </c>
    </row>
    <row r="79" spans="1:9" hidden="1">
      <c r="A79" s="1341"/>
      <c r="B79" s="522"/>
      <c r="C79" s="507">
        <f>IF(C78=Zusatzeingaben!C204,C78,C77)</f>
        <v>0</v>
      </c>
      <c r="D79" s="507">
        <f>IF(D78=Zusatzeingaben!D204,D78,D77)</f>
        <v>0</v>
      </c>
      <c r="E79" s="507">
        <f>IF(E78=Zusatzeingaben!E204,E78,E77)</f>
        <v>0</v>
      </c>
      <c r="F79" s="507">
        <f>IF(F78=Zusatzeingaben!F204,F78,F77)</f>
        <v>0</v>
      </c>
      <c r="G79" s="507">
        <f>IF(G78=Zusatzeingaben!G204,G78,G77)</f>
        <v>0</v>
      </c>
      <c r="H79" s="507">
        <f>IF(H78=Zusatzeingaben!H204,H78,H77)</f>
        <v>0</v>
      </c>
      <c r="I79" s="508">
        <f>IF(I78=Zusatzeingaben!I204,I78,I77)</f>
        <v>0</v>
      </c>
    </row>
    <row r="80" spans="1:9" hidden="1">
      <c r="A80" s="1341"/>
      <c r="B80" s="522"/>
      <c r="C80" s="1016">
        <f t="shared" ref="C80:I80" si="7">IF(OR(C79&lt;0,C69=0),0,C79)</f>
        <v>0</v>
      </c>
      <c r="D80" s="1016">
        <f t="shared" si="7"/>
        <v>0</v>
      </c>
      <c r="E80" s="1016">
        <f t="shared" si="7"/>
        <v>0</v>
      </c>
      <c r="F80" s="1016">
        <f t="shared" si="7"/>
        <v>0</v>
      </c>
      <c r="G80" s="1016">
        <f t="shared" si="7"/>
        <v>0</v>
      </c>
      <c r="H80" s="1016">
        <f t="shared" si="7"/>
        <v>0</v>
      </c>
      <c r="I80" s="1017">
        <f t="shared" si="7"/>
        <v>0</v>
      </c>
    </row>
    <row r="81" spans="1:11" hidden="1">
      <c r="A81" s="976">
        <f>IF(B81&gt;0,"./. Kfz-Haftpflichtversicherung",0)</f>
        <v>0</v>
      </c>
      <c r="B81" s="1335">
        <f>SUM(C81:I81)</f>
        <v>0</v>
      </c>
      <c r="C81" s="1016">
        <f>IF(AND(C113&gt;0,C54&lt;=400),0,IF(AND(C113&gt;0,Zusatzeingaben!C141=0),0,IF(AND(C119=Zusatzeingaben!C189,C61&gt;0,Zusatzeingaben!C189&gt;0),0,C80)))</f>
        <v>0</v>
      </c>
      <c r="D81" s="1016">
        <f>IF(AND(D113&gt;0,D54&lt;=400),0,IF(AND(D113&gt;0,Zusatzeingaben!D141=0),0,IF(AND(D119=Zusatzeingaben!D189,D61&gt;0,Zusatzeingaben!D189&gt;0),0,D80)))</f>
        <v>0</v>
      </c>
      <c r="E81" s="1016">
        <f>IF(AND(E113&gt;0,E54&lt;=400),0,IF(AND(E113&gt;0,Zusatzeingaben!E141=0),0,IF(AND(E119=Zusatzeingaben!E189,E61&gt;0,Zusatzeingaben!E189&gt;0),0,E80)))</f>
        <v>0</v>
      </c>
      <c r="F81" s="1016">
        <f>IF(AND(F113&gt;0,F54&lt;=400),0,IF(AND(F113&gt;0,Zusatzeingaben!F141=0),0,IF(AND(F119=Zusatzeingaben!F189,F61&gt;0,Zusatzeingaben!F189&gt;0),0,F80)))</f>
        <v>0</v>
      </c>
      <c r="G81" s="1016">
        <f>IF(AND(G113&gt;0,G54&lt;=400),0,IF(AND(G113&gt;0,Zusatzeingaben!G141=0),0,IF(AND(G119=Zusatzeingaben!G189,G61&gt;0,Zusatzeingaben!G189&gt;0),0,G80)))</f>
        <v>0</v>
      </c>
      <c r="H81" s="1016">
        <f>IF(AND(H113&gt;0,H54&lt;=400),0,IF(AND(H113&gt;0,Zusatzeingaben!H141=0),0,IF(AND(H119=Zusatzeingaben!H189,H61&gt;0,Zusatzeingaben!H189&gt;0),0,H80)))</f>
        <v>0</v>
      </c>
      <c r="I81" s="1017">
        <f>IF(AND(I113&gt;0,I54&lt;=400),0,IF(AND(I113&gt;0,Zusatzeingaben!I141=0),0,IF(AND(I119=Zusatzeingaben!I189,I61&gt;0,Zusatzeingaben!I189&gt;0),0,I80)))</f>
        <v>0</v>
      </c>
      <c r="K81" s="563"/>
    </row>
    <row r="82" spans="1:11" ht="18" hidden="1" customHeight="1">
      <c r="A82" s="1341"/>
      <c r="B82" s="507"/>
      <c r="C82" s="507">
        <f>IF(AND(Zusatzeingaben!C161&gt;0,Zusatzeingaben!C164=Zusatzeingaben!C161),0,Zusatzeingaben!C205+ZuschussKV!C17+ZuschussKV!C18+ZuschussKV!C51+ZuschussKV!C57)</f>
        <v>0</v>
      </c>
      <c r="D82" s="507">
        <f>IF(AND(Zusatzeingaben!D161&gt;0,Zusatzeingaben!D164=Zusatzeingaben!D161),0,Zusatzeingaben!D205+ZuschussKV!D17+ZuschussKV!D18+ZuschussKV!D51+ZuschussKV!D57)</f>
        <v>0</v>
      </c>
      <c r="E82" s="507">
        <f>IF(AND(Zusatzeingaben!E161&gt;0,Zusatzeingaben!E164=Zusatzeingaben!E161),0,Zusatzeingaben!E205+ZuschussKV!E17+ZuschussKV!E18+ZuschussKV!E51+ZuschussKV!E57)</f>
        <v>0</v>
      </c>
      <c r="F82" s="507">
        <f>IF(AND(Zusatzeingaben!F161&gt;0,Zusatzeingaben!F164=Zusatzeingaben!F161),0,Zusatzeingaben!F205+ZuschussKV!F17+ZuschussKV!F18+ZuschussKV!F51+ZuschussKV!F57)</f>
        <v>0</v>
      </c>
      <c r="G82" s="507">
        <f>IF(AND(Zusatzeingaben!G161&gt;0,Zusatzeingaben!G164=Zusatzeingaben!G161),0,Zusatzeingaben!G205+ZuschussKV!G17+ZuschussKV!G18+ZuschussKV!G51+ZuschussKV!G57)</f>
        <v>0</v>
      </c>
      <c r="H82" s="507">
        <f>IF(AND(Zusatzeingaben!H161&gt;0,Zusatzeingaben!H164=Zusatzeingaben!H161),0,Zusatzeingaben!H205+ZuschussKV!H17+ZuschussKV!H18+ZuschussKV!H51+ZuschussKV!H57)</f>
        <v>0</v>
      </c>
      <c r="I82" s="507">
        <f>IF(AND(Zusatzeingaben!I161&gt;0,Zusatzeingaben!I164=Zusatzeingaben!I161),0,Zusatzeingaben!I205+ZuschussKV!I17+ZuschussKV!I18+ZuschussKV!I51+ZuschussKV!I57)</f>
        <v>0</v>
      </c>
      <c r="K82" s="563"/>
    </row>
    <row r="83" spans="1:11" ht="18" hidden="1" customHeight="1">
      <c r="A83" s="1341"/>
      <c r="B83" s="507"/>
      <c r="C83" s="507">
        <f>IF(AND(Zusatzeingaben!C215&gt;C112,C77&lt;&gt;Zusatzeingaben!C204),C82,0)</f>
        <v>0</v>
      </c>
      <c r="D83" s="507">
        <f>IF(AND(Zusatzeingaben!D215&gt;D112,D77&lt;&gt;Zusatzeingaben!D204),D82,0)</f>
        <v>0</v>
      </c>
      <c r="E83" s="507">
        <f>IF(AND(Zusatzeingaben!E215&gt;E112,E77&lt;&gt;Zusatzeingaben!E204),E82,0)</f>
        <v>0</v>
      </c>
      <c r="F83" s="507">
        <f>IF(AND(Zusatzeingaben!F215&gt;F112,F77&lt;&gt;Zusatzeingaben!F204),F82,0)</f>
        <v>0</v>
      </c>
      <c r="G83" s="507">
        <f>IF(AND(Zusatzeingaben!G215&gt;G112,G77&lt;&gt;Zusatzeingaben!G204),G82,0)</f>
        <v>0</v>
      </c>
      <c r="H83" s="507">
        <f>IF(AND(Zusatzeingaben!H215&gt;H112,H77&lt;&gt;Zusatzeingaben!H204),H82,0)</f>
        <v>0</v>
      </c>
      <c r="I83" s="508">
        <f>IF(AND(Zusatzeingaben!I215&gt;I112,I77&lt;&gt;Zusatzeingaben!I204),I82,0)</f>
        <v>0</v>
      </c>
      <c r="K83" s="563"/>
    </row>
    <row r="84" spans="1:11" ht="18" hidden="1" customHeight="1">
      <c r="A84" s="1341"/>
      <c r="B84" s="507"/>
      <c r="C84" s="507">
        <f>IF(AND(ZuschussKV!C27=0,C112=0),Zusatzeingaben!C205,IF(AND(C112=0,ZuschussKV!C45=0,ZuschussKV!C18&gt;0),Zusatzeingaben!C205+ZuschussKV!C17+ZuschussKV!C18,IF(AND(OR(ZuschussKV!C51&gt;0,ZuschussKV!C57&gt;0),C112=0),Zusatzeingaben!C205+ZuschussKV!C51+ZuschussKV!C57,0)))</f>
        <v>0</v>
      </c>
      <c r="D84" s="507">
        <f>IF(AND(ZuschussKV!D27=0,D112=0),Zusatzeingaben!D205,IF(AND(D112=0,ZuschussKV!D45=0,ZuschussKV!D18&gt;0),Zusatzeingaben!D205+ZuschussKV!D17+ZuschussKV!D18,IF(AND(OR(ZuschussKV!D51&gt;0,ZuschussKV!D57&gt;0),D112=0),Zusatzeingaben!D205+ZuschussKV!D51+ZuschussKV!D57,0)))</f>
        <v>0</v>
      </c>
      <c r="E84" s="507">
        <f>IF(AND(ZuschussKV!E27=0,E112=0),Zusatzeingaben!E205,IF(AND(E112=0,ZuschussKV!E45=0,ZuschussKV!E18&gt;0),Zusatzeingaben!E205+ZuschussKV!E17+ZuschussKV!E18,IF(AND(OR(ZuschussKV!E51&gt;0,ZuschussKV!E57&gt;0),E112=0),Zusatzeingaben!E205+ZuschussKV!E51+ZuschussKV!E57,0)))</f>
        <v>0</v>
      </c>
      <c r="F84" s="507">
        <f>IF(AND(ZuschussKV!F27=0,F112=0),Zusatzeingaben!F205,IF(AND(F112=0,ZuschussKV!F45=0,ZuschussKV!F18&gt;0),Zusatzeingaben!F205+ZuschussKV!F17+ZuschussKV!F18,IF(AND(OR(ZuschussKV!F51&gt;0,ZuschussKV!F57&gt;0),F112=0),Zusatzeingaben!F205+ZuschussKV!F51+ZuschussKV!F57,0)))</f>
        <v>0</v>
      </c>
      <c r="G84" s="507">
        <f>IF(AND(ZuschussKV!G27=0,G112=0),Zusatzeingaben!G205,IF(AND(G112=0,ZuschussKV!G45=0,ZuschussKV!G18&gt;0),Zusatzeingaben!G205+ZuschussKV!G17+ZuschussKV!G18,IF(AND(OR(ZuschussKV!G51&gt;0,ZuschussKV!G57&gt;0),G112=0),Zusatzeingaben!G205+ZuschussKV!G51+ZuschussKV!G57,0)))</f>
        <v>0</v>
      </c>
      <c r="H84" s="507">
        <f>IF(AND(ZuschussKV!H27=0,H112=0),Zusatzeingaben!H205,IF(AND(H112=0,ZuschussKV!H45=0,ZuschussKV!H18&gt;0),Zusatzeingaben!H205+ZuschussKV!H17+ZuschussKV!H18,IF(AND(OR(ZuschussKV!H51&gt;0,ZuschussKV!H57&gt;0),H112=0),Zusatzeingaben!H205+ZuschussKV!H51+ZuschussKV!H57,0)))</f>
        <v>0</v>
      </c>
      <c r="I84" s="507">
        <f>IF(AND(ZuschussKV!I27=0,I112=0),Zusatzeingaben!I205,IF(AND(I112=0,ZuschussKV!I45=0,ZuschussKV!I18&gt;0),Zusatzeingaben!I205+ZuschussKV!I17+ZuschussKV!I18,IF(AND(OR(ZuschussKV!I51&gt;0,ZuschussKV!I57&gt;0),I112=0),Zusatzeingaben!I205+ZuschussKV!I51+ZuschussKV!I57,0)))</f>
        <v>0</v>
      </c>
      <c r="K84" s="563"/>
    </row>
    <row r="85" spans="1:11" ht="18" hidden="1" customHeight="1">
      <c r="A85" s="1341"/>
      <c r="B85" s="507"/>
      <c r="C85" s="507">
        <f>IF(C84=Zusatzeingaben!C205+ZuschussKV!C17+ZuschussKV!C18+ZuschussKV!C51+ZuschussKV!C57,C84,C83)</f>
        <v>0</v>
      </c>
      <c r="D85" s="507">
        <f>IF(D84=Zusatzeingaben!D205+ZuschussKV!D17+ZuschussKV!D18+ZuschussKV!D51+ZuschussKV!D57,D84,D83)</f>
        <v>0</v>
      </c>
      <c r="E85" s="507">
        <f>IF(E84=Zusatzeingaben!E205+ZuschussKV!E17+ZuschussKV!E18+ZuschussKV!E51+ZuschussKV!E57,E84,E83)</f>
        <v>0</v>
      </c>
      <c r="F85" s="507">
        <f>IF(F84=Zusatzeingaben!F205+ZuschussKV!F17+ZuschussKV!F18+ZuschussKV!F51+ZuschussKV!F57,F84,F83)</f>
        <v>0</v>
      </c>
      <c r="G85" s="507">
        <f>IF(G84=Zusatzeingaben!G205+ZuschussKV!G17+ZuschussKV!G18+ZuschussKV!G51+ZuschussKV!G57,G84,G83)</f>
        <v>0</v>
      </c>
      <c r="H85" s="507">
        <f>IF(H84=Zusatzeingaben!H205+ZuschussKV!H17+ZuschussKV!H18+ZuschussKV!H51+ZuschussKV!H57,H84,H83)</f>
        <v>0</v>
      </c>
      <c r="I85" s="507">
        <f>IF(I84=Zusatzeingaben!I205+ZuschussKV!I17+ZuschussKV!I18+ZuschussKV!I51+ZuschussKV!I57,I84,I83)</f>
        <v>0</v>
      </c>
    </row>
    <row r="86" spans="1:11" ht="18" hidden="1" customHeight="1">
      <c r="A86" s="976">
        <f>IF(B86&gt;0,"./. Beiträge Krankheit/ Alter/ ZVK",0)</f>
        <v>0</v>
      </c>
      <c r="B86" s="1365">
        <f>SUM(C86:I86)</f>
        <v>0</v>
      </c>
      <c r="C86" s="1016">
        <f>IF(C69=0,0,IF(AND(C113&gt;0,C54&lt;=400),0,IF(AND(C113&gt;0,Zusatzeingaben!C141=0),0,IF(AND(C119=Zusatzeingaben!C189,C61&gt;0,Zusatzeingaben!C189&gt;0),0,C85))))</f>
        <v>0</v>
      </c>
      <c r="D86" s="1016">
        <f>IF(D69=0,0,IF(AND(D113&gt;0,D54&lt;=400),0,IF(AND(D113&gt;0,Zusatzeingaben!D141=0),0,IF(AND(D119=Zusatzeingaben!D189,D61&gt;0,Zusatzeingaben!D189&gt;0),0,D85))))</f>
        <v>0</v>
      </c>
      <c r="E86" s="1016">
        <f>IF(E69=0,0,IF(AND(E113&gt;0,E54&lt;=400),0,IF(AND(E113&gt;0,Zusatzeingaben!E141=0),0,IF(AND(E119=Zusatzeingaben!E189,E61&gt;0,Zusatzeingaben!E189&gt;0),0,E85))))</f>
        <v>0</v>
      </c>
      <c r="F86" s="1016">
        <f>IF(F69=0,0,IF(AND(F113&gt;0,F54&lt;=400),0,IF(AND(F113&gt;0,Zusatzeingaben!F141=0),0,IF(AND(F119=Zusatzeingaben!F189,F61&gt;0,Zusatzeingaben!F189&gt;0),0,F85))))</f>
        <v>0</v>
      </c>
      <c r="G86" s="1016">
        <f>IF(G69=0,0,IF(AND(G113&gt;0,G54&lt;=400),0,IF(AND(G113&gt;0,Zusatzeingaben!G141=0),0,IF(AND(G119=Zusatzeingaben!G189,G61&gt;0,Zusatzeingaben!G189&gt;0),0,G85))))</f>
        <v>0</v>
      </c>
      <c r="H86" s="1016">
        <f>IF(H69=0,0,IF(AND(H113&gt;0,H54&lt;=400),0,IF(AND(H113&gt;0,Zusatzeingaben!H141=0),0,IF(AND(H119=Zusatzeingaben!H189,H61&gt;0,Zusatzeingaben!H189&gt;0),0,H85))))</f>
        <v>0</v>
      </c>
      <c r="I86" s="1017">
        <f>IF(I69=0,0,IF(AND(I113&gt;0,I54&lt;=400),0,IF(AND(I113&gt;0,Zusatzeingaben!I141=0),0,IF(AND(I119=Zusatzeingaben!I189,I61&gt;0,Zusatzeingaben!I189&gt;0),0,I85))))</f>
        <v>0</v>
      </c>
    </row>
    <row r="87" spans="1:11" ht="16.5" hidden="1" customHeight="1">
      <c r="A87" s="1341"/>
      <c r="B87" s="507"/>
      <c r="C87" s="507">
        <f>IF(AND(Zusatzeingaben!C161&gt;0,Zusatzeingaben!C164=Zusatzeingaben!C161),0,Zusatzeingaben!C213)</f>
        <v>0</v>
      </c>
      <c r="D87" s="507">
        <f>IF(AND(Zusatzeingaben!D161&gt;0,Zusatzeingaben!D164=Zusatzeingaben!D161),0,Zusatzeingaben!D213)</f>
        <v>0</v>
      </c>
      <c r="E87" s="507">
        <f>IF(AND(Zusatzeingaben!E161&gt;0,Zusatzeingaben!E164=Zusatzeingaben!E161),0,Zusatzeingaben!E213)</f>
        <v>0</v>
      </c>
      <c r="F87" s="507">
        <f>IF(AND(Zusatzeingaben!F161&gt;0,Zusatzeingaben!F164=Zusatzeingaben!F161),0,Zusatzeingaben!F213)</f>
        <v>0</v>
      </c>
      <c r="G87" s="507">
        <f>IF(AND(Zusatzeingaben!G161&gt;0,Zusatzeingaben!G164=Zusatzeingaben!G161),0,Zusatzeingaben!G213)</f>
        <v>0</v>
      </c>
      <c r="H87" s="507">
        <f>IF(AND(Zusatzeingaben!H161&gt;0,Zusatzeingaben!H164=Zusatzeingaben!H161),0,Zusatzeingaben!H213)</f>
        <v>0</v>
      </c>
      <c r="I87" s="508">
        <f>IF(AND(Zusatzeingaben!I161&gt;0,Zusatzeingaben!I164=Zusatzeingaben!I161),0,Zusatzeingaben!I213)</f>
        <v>0</v>
      </c>
    </row>
    <row r="88" spans="1:11" ht="16.5" hidden="1" customHeight="1">
      <c r="A88" s="1341"/>
      <c r="B88" s="507"/>
      <c r="C88" s="507">
        <f>IF(AND(Zusatzeingaben!C215&gt;C112,C77&lt;&gt;Zusatzeingaben!C204),C87,0)</f>
        <v>0</v>
      </c>
      <c r="D88" s="507">
        <f>IF(AND(Zusatzeingaben!D215&gt;D112,D77&lt;&gt;Zusatzeingaben!D204),D87,0)</f>
        <v>0</v>
      </c>
      <c r="E88" s="507">
        <f>IF(AND(Zusatzeingaben!E215&gt;E112,E77&lt;&gt;Zusatzeingaben!E204),E87,0)</f>
        <v>0</v>
      </c>
      <c r="F88" s="507">
        <f>IF(AND(Zusatzeingaben!F215&gt;F112,F77&lt;&gt;Zusatzeingaben!F204),F87,0)</f>
        <v>0</v>
      </c>
      <c r="G88" s="507">
        <f>IF(AND(Zusatzeingaben!G215&gt;G112,G77&lt;&gt;Zusatzeingaben!G204),G87,0)</f>
        <v>0</v>
      </c>
      <c r="H88" s="507">
        <f>IF(AND(Zusatzeingaben!H215&gt;H112,H77&lt;&gt;Zusatzeingaben!H204),H87,0)</f>
        <v>0</v>
      </c>
      <c r="I88" s="508">
        <f>IF(AND(Zusatzeingaben!I215&gt;I112,I77&lt;&gt;Zusatzeingaben!I204),I87,0)</f>
        <v>0</v>
      </c>
    </row>
    <row r="89" spans="1:11" ht="16.5" hidden="1" customHeight="1">
      <c r="A89" s="1341"/>
      <c r="B89" s="507"/>
      <c r="C89" s="507">
        <f>IF(C112=0,Zusatzeingaben!C213,0)</f>
        <v>0</v>
      </c>
      <c r="D89" s="507">
        <f>IF(D112=0,Zusatzeingaben!D213,0)</f>
        <v>0</v>
      </c>
      <c r="E89" s="507">
        <f>IF(E112=0,Zusatzeingaben!E213,0)</f>
        <v>0</v>
      </c>
      <c r="F89" s="507">
        <f>IF(F112=0,Zusatzeingaben!F213,0)</f>
        <v>0</v>
      </c>
      <c r="G89" s="507">
        <f>IF(G112=0,Zusatzeingaben!G213,0)</f>
        <v>0</v>
      </c>
      <c r="H89" s="507">
        <f>IF(H112=0,Zusatzeingaben!H213,0)</f>
        <v>0</v>
      </c>
      <c r="I89" s="508">
        <f>IF(I112=0,Zusatzeingaben!I213,0)</f>
        <v>0</v>
      </c>
    </row>
    <row r="90" spans="1:11" ht="16.5" hidden="1" customHeight="1">
      <c r="A90" s="1341"/>
      <c r="B90" s="507"/>
      <c r="C90" s="507">
        <f>IF(C89=Zusatzeingaben!C213,C89,C88)</f>
        <v>0</v>
      </c>
      <c r="D90" s="507">
        <f>IF(D89=Zusatzeingaben!D213,D89,D88)</f>
        <v>0</v>
      </c>
      <c r="E90" s="507">
        <f>IF(E89=Zusatzeingaben!E213,E89,E88)</f>
        <v>0</v>
      </c>
      <c r="F90" s="507">
        <f>IF(F89=Zusatzeingaben!F213,F89,F88)</f>
        <v>0</v>
      </c>
      <c r="G90" s="507">
        <f>IF(G89=Zusatzeingaben!G213,G89,G88)</f>
        <v>0</v>
      </c>
      <c r="H90" s="507">
        <f>IF(H89=Zusatzeingaben!H213,H89,H88)</f>
        <v>0</v>
      </c>
      <c r="I90" s="508">
        <f>IF(I89=Zusatzeingaben!I213,I89,I88)</f>
        <v>0</v>
      </c>
    </row>
    <row r="91" spans="1:11" hidden="1">
      <c r="A91" s="976">
        <f>IF(B91&gt;0,"./. Beiträge Riester-Rente",0)</f>
        <v>0</v>
      </c>
      <c r="B91" s="1365">
        <f>SUM(C91:I91)</f>
        <v>0</v>
      </c>
      <c r="C91" s="1016">
        <f>IF(C69=0,0,IF(AND(C113&gt;0,C54&lt;=400),0,IF(AND(C113&gt;0,Zusatzeingaben!C141=0),0,IF(AND(C119=Zusatzeingaben!C189,C61&gt;0,Zusatzeingaben!C189&gt;0),0,C90))))</f>
        <v>0</v>
      </c>
      <c r="D91" s="1016">
        <f>IF(D69=0,0,IF(AND(D113&gt;0,D54&lt;=400),0,IF(AND(D113&gt;0,Zusatzeingaben!D141=0),0,IF(AND(D119=Zusatzeingaben!D189,D61&gt;0,Zusatzeingaben!D189&gt;0),0,D90))))</f>
        <v>0</v>
      </c>
      <c r="E91" s="1016">
        <f>IF(E69=0,0,IF(AND(E113&gt;0,E54&lt;=400),0,IF(AND(E113&gt;0,Zusatzeingaben!E141=0),0,IF(AND(E119=Zusatzeingaben!E189,E61&gt;0,Zusatzeingaben!E189&gt;0),0,E90))))</f>
        <v>0</v>
      </c>
      <c r="F91" s="1016">
        <f>IF(F69=0,0,IF(AND(F113&gt;0,F54&lt;=400),0,IF(AND(F113&gt;0,Zusatzeingaben!F141=0),0,IF(AND(F119=Zusatzeingaben!F189,F61&gt;0,Zusatzeingaben!F189&gt;0),0,F90))))</f>
        <v>0</v>
      </c>
      <c r="G91" s="1016">
        <f>IF(G69=0,0,IF(AND(G113&gt;0,G54&lt;=400),0,IF(AND(G113&gt;0,Zusatzeingaben!G141=0),0,IF(AND(G119=Zusatzeingaben!G189,G61&gt;0,Zusatzeingaben!G189&gt;0),0,G90))))</f>
        <v>0</v>
      </c>
      <c r="H91" s="1016">
        <f>IF(H69=0,0,IF(AND(H113&gt;0,H54&lt;=400),0,IF(AND(H113&gt;0,Zusatzeingaben!H141=0),0,IF(AND(H119=Zusatzeingaben!H189,H61&gt;0,Zusatzeingaben!H189&gt;0),0,H90))))</f>
        <v>0</v>
      </c>
      <c r="I91" s="1017">
        <f>IF(I69=0,0,IF(AND(I113&gt;0,I54&lt;=400),0,IF(AND(I113&gt;0,Zusatzeingaben!I141=0),0,IF(AND(I119=Zusatzeingaben!I189,I61&gt;0,Zusatzeingaben!I189&gt;0),0,I90))))</f>
        <v>0</v>
      </c>
    </row>
    <row r="92" spans="1:11" hidden="1">
      <c r="A92" s="976"/>
      <c r="B92" s="507"/>
      <c r="C92" s="507">
        <f>IF(AND(Zusatzeingaben!C161&gt;0,Zusatzeingaben!C164=Zusatzeingaben!C161),0,Zusatzeingaben!C127)</f>
        <v>0</v>
      </c>
      <c r="D92" s="507">
        <f>IF(AND(Zusatzeingaben!D161&gt;0,Zusatzeingaben!D164=Zusatzeingaben!D161),0,Zusatzeingaben!D127)</f>
        <v>0</v>
      </c>
      <c r="E92" s="507">
        <f>IF(AND(Zusatzeingaben!E161&gt;0,Zusatzeingaben!E164=Zusatzeingaben!E161),0,Zusatzeingaben!E127)</f>
        <v>0</v>
      </c>
      <c r="F92" s="507">
        <f>IF(AND(Zusatzeingaben!F161&gt;0,Zusatzeingaben!F164=Zusatzeingaben!F161),0,Zusatzeingaben!F127)</f>
        <v>0</v>
      </c>
      <c r="G92" s="507">
        <f>IF(AND(Zusatzeingaben!G161&gt;0,Zusatzeingaben!G164=Zusatzeingaben!G161),0,Zusatzeingaben!G127)</f>
        <v>0</v>
      </c>
      <c r="H92" s="507">
        <f>IF(AND(Zusatzeingaben!H161&gt;0,Zusatzeingaben!H164=Zusatzeingaben!H161),0,Zusatzeingaben!H127)</f>
        <v>0</v>
      </c>
      <c r="I92" s="508">
        <f>IF(AND(Zusatzeingaben!I161&gt;0,Zusatzeingaben!I164=Zusatzeingaben!I161),0,Zusatzeingaben!I127)</f>
        <v>0</v>
      </c>
    </row>
    <row r="93" spans="1:11" hidden="1">
      <c r="A93" s="1366"/>
      <c r="B93" s="507"/>
      <c r="C93" s="507">
        <f>IF(AND(Zusatzeingaben!C215&gt;C112,C77&lt;&gt;Zusatzeingaben!C127),C92,0)</f>
        <v>0</v>
      </c>
      <c r="D93" s="507">
        <f>IF(AND(Zusatzeingaben!D215&gt;D112,D77&lt;&gt;Zusatzeingaben!D127),D92,0)</f>
        <v>0</v>
      </c>
      <c r="E93" s="507">
        <f>IF(AND(Zusatzeingaben!E215&gt;E112,E77&lt;&gt;Zusatzeingaben!E127),E92,0)</f>
        <v>0</v>
      </c>
      <c r="F93" s="507">
        <f>IF(AND(Zusatzeingaben!F215&gt;F112,F77&lt;&gt;Zusatzeingaben!F127),F92,0)</f>
        <v>0</v>
      </c>
      <c r="G93" s="507">
        <f>IF(AND(Zusatzeingaben!G215&gt;G112,G77&lt;&gt;Zusatzeingaben!G127),G92,0)</f>
        <v>0</v>
      </c>
      <c r="H93" s="507">
        <f>IF(AND(Zusatzeingaben!H215&gt;H112,H77&lt;&gt;Zusatzeingaben!H127),H92,0)</f>
        <v>0</v>
      </c>
      <c r="I93" s="508">
        <f>IF(AND(Zusatzeingaben!I215&gt;I112,I77&lt;&gt;Zusatzeingaben!I127),I92,0)</f>
        <v>0</v>
      </c>
    </row>
    <row r="94" spans="1:11" hidden="1">
      <c r="A94" s="976"/>
      <c r="B94" s="507"/>
      <c r="C94" s="507">
        <f>IF(C112=0,Zusatzeingaben!C127,0)</f>
        <v>0</v>
      </c>
      <c r="D94" s="507">
        <f>IF(D112=0,Zusatzeingaben!D127,0)</f>
        <v>0</v>
      </c>
      <c r="E94" s="507">
        <f>IF(E112=0,Zusatzeingaben!E127,0)</f>
        <v>0</v>
      </c>
      <c r="F94" s="507">
        <f>IF(F112=0,Zusatzeingaben!F127,0)</f>
        <v>0</v>
      </c>
      <c r="G94" s="507">
        <f>IF(G112=0,Zusatzeingaben!G127,0)</f>
        <v>0</v>
      </c>
      <c r="H94" s="507">
        <f>IF(H112=0,Zusatzeingaben!H127,0)</f>
        <v>0</v>
      </c>
      <c r="I94" s="508">
        <f>IF(I112=0,Zusatzeingaben!I127,0)</f>
        <v>0</v>
      </c>
    </row>
    <row r="95" spans="1:11" hidden="1">
      <c r="A95" s="976"/>
      <c r="B95" s="507"/>
      <c r="C95" s="507">
        <f>IF(C94=Zusatzeingaben!C127,C94,C93)</f>
        <v>0</v>
      </c>
      <c r="D95" s="507">
        <f>IF(D94=Zusatzeingaben!D127,D94,D93)</f>
        <v>0</v>
      </c>
      <c r="E95" s="507">
        <f>IF(E94=Zusatzeingaben!E127,E94,E93)</f>
        <v>0</v>
      </c>
      <c r="F95" s="507">
        <f>IF(F94=Zusatzeingaben!F127,F94,F93)</f>
        <v>0</v>
      </c>
      <c r="G95" s="507">
        <f>IF(G94=Zusatzeingaben!G127,G94,G93)</f>
        <v>0</v>
      </c>
      <c r="H95" s="507">
        <f>IF(H94=Zusatzeingaben!H127,H94,H93)</f>
        <v>0</v>
      </c>
      <c r="I95" s="508">
        <f>IF(I94=Zusatzeingaben!I127,I94,I93)</f>
        <v>0</v>
      </c>
    </row>
    <row r="96" spans="1:11" hidden="1">
      <c r="A96" s="1366"/>
      <c r="B96" s="507"/>
      <c r="C96" s="507">
        <f>IF(Zusatzeingaben!C140=0,0,C95)</f>
        <v>0</v>
      </c>
      <c r="D96" s="507">
        <f>IF(Zusatzeingaben!D140=0,0,D95)</f>
        <v>0</v>
      </c>
      <c r="E96" s="507">
        <f>IF(Zusatzeingaben!E140=0,0,E95)</f>
        <v>0</v>
      </c>
      <c r="F96" s="507">
        <f>IF(Zusatzeingaben!F140=0,0,F95)</f>
        <v>0</v>
      </c>
      <c r="G96" s="507">
        <f>IF(Zusatzeingaben!G140=0,0,G95)</f>
        <v>0</v>
      </c>
      <c r="H96" s="507">
        <f>IF(Zusatzeingaben!H140=0,0,H95)</f>
        <v>0</v>
      </c>
      <c r="I96" s="508">
        <f>IF(Zusatzeingaben!I140=0,0,I95)</f>
        <v>0</v>
      </c>
    </row>
    <row r="97" spans="1:9" hidden="1">
      <c r="A97" s="976">
        <f>IF(B97&gt;0,"./. Fahrtkosten",0)</f>
        <v>0</v>
      </c>
      <c r="B97" s="1335">
        <f>SUM(C97:I97)</f>
        <v>0</v>
      </c>
      <c r="C97" s="1016">
        <f t="shared" ref="C97:I97" si="8">IF(AND(C113&gt;0,C54&lt;=400),0,IF(C74&lt;0,C96+C74,IF(C69=0,0,C96)))</f>
        <v>0</v>
      </c>
      <c r="D97" s="1016">
        <f t="shared" si="8"/>
        <v>0</v>
      </c>
      <c r="E97" s="1016">
        <f t="shared" si="8"/>
        <v>0</v>
      </c>
      <c r="F97" s="1016">
        <f t="shared" si="8"/>
        <v>0</v>
      </c>
      <c r="G97" s="1016">
        <f t="shared" si="8"/>
        <v>0</v>
      </c>
      <c r="H97" s="1016">
        <f t="shared" si="8"/>
        <v>0</v>
      </c>
      <c r="I97" s="1017">
        <f t="shared" si="8"/>
        <v>0</v>
      </c>
    </row>
    <row r="98" spans="1:9" hidden="1">
      <c r="A98" s="976"/>
      <c r="B98" s="522"/>
      <c r="C98" s="507">
        <f>IF(AND(Zusatzeingaben!C161&gt;0,Zusatzeingaben!C164=Zusatzeingaben!C161),0,Zusatzeingaben!C124)</f>
        <v>0</v>
      </c>
      <c r="D98" s="507">
        <f>IF(AND(Zusatzeingaben!D161&gt;0,Zusatzeingaben!D164=Zusatzeingaben!D161),0,Zusatzeingaben!D124)</f>
        <v>0</v>
      </c>
      <c r="E98" s="507">
        <f>IF(AND(Zusatzeingaben!E161&gt;0,Zusatzeingaben!E164=Zusatzeingaben!E161),0,Zusatzeingaben!E124)</f>
        <v>0</v>
      </c>
      <c r="F98" s="507">
        <f>IF(AND(Zusatzeingaben!F161&gt;0,Zusatzeingaben!F164=Zusatzeingaben!F161),0,Zusatzeingaben!F124)</f>
        <v>0</v>
      </c>
      <c r="G98" s="507">
        <f>IF(AND(Zusatzeingaben!G161&gt;0,Zusatzeingaben!G164=Zusatzeingaben!G161),0,Zusatzeingaben!G124)</f>
        <v>0</v>
      </c>
      <c r="H98" s="507">
        <f>IF(AND(Zusatzeingaben!H161&gt;0,Zusatzeingaben!H164=Zusatzeingaben!H161),0,Zusatzeingaben!H124)</f>
        <v>0</v>
      </c>
      <c r="I98" s="508">
        <f>IF(AND(Zusatzeingaben!I161&gt;0,Zusatzeingaben!I164=Zusatzeingaben!I161),0,Zusatzeingaben!I124)</f>
        <v>0</v>
      </c>
    </row>
    <row r="99" spans="1:9" hidden="1">
      <c r="A99" s="1366"/>
      <c r="B99" s="522"/>
      <c r="C99" s="507">
        <f>IF(AND(Zusatzeingaben!C215&gt;C112,C77&lt;&gt;Zusatzeingaben!C124),C98,0)</f>
        <v>0</v>
      </c>
      <c r="D99" s="507">
        <f>IF(AND(Zusatzeingaben!D215&gt;D112,D77&lt;&gt;Zusatzeingaben!D124),D98,0)</f>
        <v>0</v>
      </c>
      <c r="E99" s="507">
        <f>IF(AND(Zusatzeingaben!E215&gt;E112,E77&lt;&gt;Zusatzeingaben!E124),E98,0)</f>
        <v>0</v>
      </c>
      <c r="F99" s="507">
        <f>IF(AND(Zusatzeingaben!F215&gt;F112,F77&lt;&gt;Zusatzeingaben!F124),F98,0)</f>
        <v>0</v>
      </c>
      <c r="G99" s="507">
        <f>IF(AND(Zusatzeingaben!G215&gt;G112,G77&lt;&gt;Zusatzeingaben!G124),G98,0)</f>
        <v>0</v>
      </c>
      <c r="H99" s="507">
        <f>IF(AND(Zusatzeingaben!H215&gt;H112,H77&lt;&gt;Zusatzeingaben!H124),H98,0)</f>
        <v>0</v>
      </c>
      <c r="I99" s="508">
        <f>IF(AND(Zusatzeingaben!I215&gt;I112,I77&lt;&gt;Zusatzeingaben!I124),I98,0)</f>
        <v>0</v>
      </c>
    </row>
    <row r="100" spans="1:9" hidden="1">
      <c r="A100" s="976"/>
      <c r="B100" s="522"/>
      <c r="C100" s="507">
        <f>IF(C112=0,Zusatzeingaben!C124,0)</f>
        <v>0</v>
      </c>
      <c r="D100" s="507">
        <f>IF(D112=0,Zusatzeingaben!D124,0)</f>
        <v>0</v>
      </c>
      <c r="E100" s="507">
        <f>IF(E112=0,Zusatzeingaben!E124,0)</f>
        <v>0</v>
      </c>
      <c r="F100" s="507">
        <f>IF(F112=0,Zusatzeingaben!F124,0)</f>
        <v>0</v>
      </c>
      <c r="G100" s="507">
        <f>IF(G112=0,Zusatzeingaben!G124,0)</f>
        <v>0</v>
      </c>
      <c r="H100" s="507">
        <f>IF(H112=0,Zusatzeingaben!H124,0)</f>
        <v>0</v>
      </c>
      <c r="I100" s="508">
        <f>IF(I112=0,Zusatzeingaben!I124,0)</f>
        <v>0</v>
      </c>
    </row>
    <row r="101" spans="1:9" hidden="1">
      <c r="A101" s="976"/>
      <c r="B101" s="522"/>
      <c r="C101" s="507">
        <f>IF(C100=Zusatzeingaben!C124,C100,C98)</f>
        <v>0</v>
      </c>
      <c r="D101" s="507">
        <f>IF(D100=Zusatzeingaben!D124,D100,D98)</f>
        <v>0</v>
      </c>
      <c r="E101" s="507">
        <f>IF(E100=Zusatzeingaben!E124,E100,E98)</f>
        <v>0</v>
      </c>
      <c r="F101" s="507">
        <f>IF(F100=Zusatzeingaben!F124,F100,F98)</f>
        <v>0</v>
      </c>
      <c r="G101" s="507">
        <f>IF(G100=Zusatzeingaben!G124,G100,G98)</f>
        <v>0</v>
      </c>
      <c r="H101" s="507">
        <f>IF(H100=Zusatzeingaben!H124,H100,H98)</f>
        <v>0</v>
      </c>
      <c r="I101" s="508">
        <f>IF(I100=Zusatzeingaben!I124,I100,I98)</f>
        <v>0</v>
      </c>
    </row>
    <row r="102" spans="1:9" hidden="1">
      <c r="A102" s="1366"/>
      <c r="B102" s="522"/>
      <c r="C102" s="507">
        <f>IF(Zusatzeingaben!C140=0,0,C101)</f>
        <v>0</v>
      </c>
      <c r="D102" s="507">
        <f>IF(Zusatzeingaben!D140=0,0,D101)</f>
        <v>0</v>
      </c>
      <c r="E102" s="507">
        <f>IF(Zusatzeingaben!E140=0,0,E101)</f>
        <v>0</v>
      </c>
      <c r="F102" s="507">
        <f>IF(Zusatzeingaben!F140=0,0,F101)</f>
        <v>0</v>
      </c>
      <c r="G102" s="507">
        <f>IF(Zusatzeingaben!G140=0,0,G101)</f>
        <v>0</v>
      </c>
      <c r="H102" s="507">
        <f>IF(Zusatzeingaben!H140=0,0,H101)</f>
        <v>0</v>
      </c>
      <c r="I102" s="508">
        <f>IF(Zusatzeingaben!I140=0,0,I101)</f>
        <v>0</v>
      </c>
    </row>
    <row r="103" spans="1:9" hidden="1">
      <c r="A103" s="976">
        <f>IF(B103&gt;0,"./. Verpflegungsmehraufwand",0)</f>
        <v>0</v>
      </c>
      <c r="B103" s="1335">
        <f>SUM(C103:I103)</f>
        <v>0</v>
      </c>
      <c r="C103" s="1367">
        <f t="shared" ref="C103:I103" si="9">IF(AND(C113&gt;0,C54&lt;=400),0,IF(C69=0,0,C102))</f>
        <v>0</v>
      </c>
      <c r="D103" s="1367">
        <f t="shared" si="9"/>
        <v>0</v>
      </c>
      <c r="E103" s="1367">
        <f t="shared" si="9"/>
        <v>0</v>
      </c>
      <c r="F103" s="1367">
        <f t="shared" si="9"/>
        <v>0</v>
      </c>
      <c r="G103" s="1367">
        <f t="shared" si="9"/>
        <v>0</v>
      </c>
      <c r="H103" s="1367">
        <f t="shared" si="9"/>
        <v>0</v>
      </c>
      <c r="I103" s="1368">
        <f t="shared" si="9"/>
        <v>0</v>
      </c>
    </row>
    <row r="104" spans="1:9" hidden="1">
      <c r="A104" s="976"/>
      <c r="B104" s="522"/>
      <c r="C104" s="507">
        <f>IF(AND(Zusatzeingaben!C161&gt;0,Zusatzeingaben!C164=Zusatzeingaben!C161),0,Zusatzeingaben!C149)</f>
        <v>0</v>
      </c>
      <c r="D104" s="507">
        <f>IF(AND(Zusatzeingaben!D161&gt;0,Zusatzeingaben!D164=Zusatzeingaben!D161),0,Zusatzeingaben!D149)</f>
        <v>0</v>
      </c>
      <c r="E104" s="507">
        <f>IF(AND(Zusatzeingaben!E161&gt;0,Zusatzeingaben!E164=Zusatzeingaben!E161),0,Zusatzeingaben!E149)</f>
        <v>0</v>
      </c>
      <c r="F104" s="507">
        <f>IF(AND(Zusatzeingaben!F161&gt;0,Zusatzeingaben!F164=Zusatzeingaben!F161),0,Zusatzeingaben!F149)</f>
        <v>0</v>
      </c>
      <c r="G104" s="507">
        <f>IF(AND(Zusatzeingaben!G161&gt;0,Zusatzeingaben!G164=Zusatzeingaben!G161),0,Zusatzeingaben!G149)</f>
        <v>0</v>
      </c>
      <c r="H104" s="507">
        <f>IF(AND(Zusatzeingaben!H161&gt;0,Zusatzeingaben!H164=Zusatzeingaben!H161),0,Zusatzeingaben!H149)</f>
        <v>0</v>
      </c>
      <c r="I104" s="508">
        <f>IF(AND(Zusatzeingaben!I161&gt;0,Zusatzeingaben!I164=Zusatzeingaben!I161),0,Zusatzeingaben!I149)</f>
        <v>0</v>
      </c>
    </row>
    <row r="105" spans="1:9" hidden="1">
      <c r="A105" s="976"/>
      <c r="B105" s="522"/>
      <c r="C105" s="507">
        <f>IF(C112=0,Zusatzeingaben!C149,0)</f>
        <v>0</v>
      </c>
      <c r="D105" s="507">
        <f>IF(D112=0,Zusatzeingaben!D149,0)</f>
        <v>0</v>
      </c>
      <c r="E105" s="507">
        <f>IF(E112=0,Zusatzeingaben!E149,0)</f>
        <v>0</v>
      </c>
      <c r="F105" s="507">
        <f>IF(F112=0,Zusatzeingaben!F149,0)</f>
        <v>0</v>
      </c>
      <c r="G105" s="507">
        <f>IF(G112=0,Zusatzeingaben!G149,0)</f>
        <v>0</v>
      </c>
      <c r="H105" s="507">
        <f>IF(H112=0,Zusatzeingaben!H149,0)</f>
        <v>0</v>
      </c>
      <c r="I105" s="508">
        <f>IF(I112=0,Zusatzeingaben!I149,0)</f>
        <v>0</v>
      </c>
    </row>
    <row r="106" spans="1:9" hidden="1">
      <c r="A106" s="1341"/>
      <c r="B106" s="522"/>
      <c r="C106" s="507">
        <f t="shared" ref="C106:I106" si="10">IF(C105&gt;0,C105,C104)</f>
        <v>0</v>
      </c>
      <c r="D106" s="507">
        <f t="shared" si="10"/>
        <v>0</v>
      </c>
      <c r="E106" s="507">
        <f t="shared" si="10"/>
        <v>0</v>
      </c>
      <c r="F106" s="507">
        <f t="shared" si="10"/>
        <v>0</v>
      </c>
      <c r="G106" s="507">
        <f t="shared" si="10"/>
        <v>0</v>
      </c>
      <c r="H106" s="507">
        <f t="shared" si="10"/>
        <v>0</v>
      </c>
      <c r="I106" s="508">
        <f t="shared" si="10"/>
        <v>0</v>
      </c>
    </row>
    <row r="107" spans="1:9" hidden="1">
      <c r="A107" s="1339">
        <f>IF(B107&gt;0,"./. Werbungskosten bei Erwerbstätigkeit",0)</f>
        <v>0</v>
      </c>
      <c r="B107" s="1335">
        <f>SUM(C107:I107)</f>
        <v>0</v>
      </c>
      <c r="C107" s="507">
        <f>IF(AND(C113&gt;0,C54&lt;=400),0,IF(AND(C58&gt;200,Zusatzeingaben!C159&gt;Zusatzeingaben!C157),Zusatzeingaben!C148,IF(AND($A$57="Gewinn aus selbständiger Tätigkeit",C57&gt;0),0,IF(AND(C54&lt;100,C58&lt;200,C68&gt;0),0,C106))))</f>
        <v>0</v>
      </c>
      <c r="D107" s="507">
        <f>IF(AND(D113&gt;0,D54&lt;=400),0,IF(AND(D58&gt;200,Zusatzeingaben!D159&gt;Zusatzeingaben!D157),Zusatzeingaben!D148,IF(AND($A$57="Gewinn aus selbständiger Tätigkeit",D57&gt;0),0,IF(AND(D54&lt;100,D58&lt;200,D68&gt;0),0,D106))))</f>
        <v>0</v>
      </c>
      <c r="E107" s="507">
        <f>IF(AND(E113&gt;0,E54&lt;=400),0,IF(AND(E58&gt;200,Zusatzeingaben!E159&gt;Zusatzeingaben!E157),Zusatzeingaben!E148,IF(AND($A$57="Gewinn aus selbständiger Tätigkeit",E57&gt;0),0,IF(AND(E54&lt;100,E58&lt;200,E68&gt;0),0,E106))))</f>
        <v>0</v>
      </c>
      <c r="F107" s="507">
        <f>IF(AND(F113&gt;0,F54&lt;=400),0,IF(AND(F58&gt;200,Zusatzeingaben!F159&gt;Zusatzeingaben!F157),Zusatzeingaben!F148,IF(AND($A$57="Gewinn aus selbständiger Tätigkeit",F57&gt;0),0,IF(AND(F54&lt;100,F58&lt;200,F68&gt;0),0,F106))))</f>
        <v>0</v>
      </c>
      <c r="G107" s="507">
        <f>IF(AND(G113&gt;0,G54&lt;=400),0,IF(AND(G58&gt;200,Zusatzeingaben!G159&gt;Zusatzeingaben!G157),Zusatzeingaben!G148,IF(AND($A$57="Gewinn aus selbständiger Tätigkeit",G57&gt;0),0,IF(AND(G54&lt;100,G58&lt;200,G68&gt;0),0,G106))))</f>
        <v>0</v>
      </c>
      <c r="H107" s="507">
        <f>IF(AND(H113&gt;0,H54&lt;=400),0,IF(AND(H58&gt;200,Zusatzeingaben!H159&gt;Zusatzeingaben!H157),Zusatzeingaben!H148,IF(AND($A$57="Gewinn aus selbständiger Tätigkeit",H57&gt;0),0,IF(AND(H54&lt;100,H58&lt;200,H68&gt;0),0,H106))))</f>
        <v>0</v>
      </c>
      <c r="I107" s="508">
        <f>IF(AND(I113&gt;0,I54&lt;=400),0,IF(AND(I58&gt;200,Zusatzeingaben!I159&gt;Zusatzeingaben!I157),Zusatzeingaben!I148,IF(AND($A$57="Gewinn aus selbständiger Tätigkeit",I57&gt;0),0,IF(AND(I54&lt;100,I58&lt;200,I68&gt;0),0,I106))))</f>
        <v>0</v>
      </c>
    </row>
    <row r="108" spans="1:9" hidden="1">
      <c r="A108" s="1339">
        <f>IF(B108&gt;0,"./. notwendige Ausgaben",0)</f>
        <v>0</v>
      </c>
      <c r="B108" s="1335">
        <f>SUM(C108:I108)</f>
        <v>0</v>
      </c>
      <c r="C108" s="507">
        <f>Zusatzeingaben!C218</f>
        <v>0</v>
      </c>
      <c r="D108" s="507">
        <f>Zusatzeingaben!D218</f>
        <v>0</v>
      </c>
      <c r="E108" s="507">
        <f>Zusatzeingaben!E218</f>
        <v>0</v>
      </c>
      <c r="F108" s="507">
        <f>Zusatzeingaben!F218</f>
        <v>0</v>
      </c>
      <c r="G108" s="507">
        <f>Zusatzeingaben!G218</f>
        <v>0</v>
      </c>
      <c r="H108" s="507">
        <f>Zusatzeingaben!H218</f>
        <v>0</v>
      </c>
      <c r="I108" s="508">
        <f>Zusatzeingaben!I218</f>
        <v>0</v>
      </c>
    </row>
    <row r="109" spans="1:9" ht="16.5" hidden="1" customHeight="1">
      <c r="A109" s="1341"/>
      <c r="B109" s="522"/>
      <c r="C109" s="522">
        <f>IF(Zusatzeingaben!C161&gt;200,0,Zusatzeingaben!C161)</f>
        <v>0</v>
      </c>
      <c r="D109" s="522">
        <f>IF(Zusatzeingaben!D161&gt;200,0,Zusatzeingaben!D161)</f>
        <v>0</v>
      </c>
      <c r="E109" s="522">
        <f>IF(Zusatzeingaben!E161&gt;200,0,Zusatzeingaben!E161)</f>
        <v>0</v>
      </c>
      <c r="F109" s="522">
        <f>IF(Zusatzeingaben!F161&gt;200,0,Zusatzeingaben!F161)</f>
        <v>0</v>
      </c>
      <c r="G109" s="522">
        <f>IF(Zusatzeingaben!G161&gt;200,0,Zusatzeingaben!G161)</f>
        <v>0</v>
      </c>
      <c r="H109" s="522">
        <f>IF(Zusatzeingaben!H161&gt;200,0,Zusatzeingaben!H161)</f>
        <v>0</v>
      </c>
      <c r="I109" s="523">
        <f>IF(Zusatzeingaben!I161&gt;200,0,Zusatzeingaben!I161)</f>
        <v>0</v>
      </c>
    </row>
    <row r="110" spans="1:9" ht="16.5" hidden="1" customHeight="1">
      <c r="A110" s="1341"/>
      <c r="B110" s="522"/>
      <c r="C110" s="522">
        <f>IF(AND(Zusatzeingaben!C131+Zusatzeingaben!C139&gt;400,Zusatzeingaben!C160&gt;100,Zusatzeingaben!C138&gt;0,Zusatzeingaben!C159+100&gt;Zusatzeingaben!C160),Zusatzeingaben!C159+100,IF(OR(Zusatzeingaben!C153&gt;100,Zusatzeingaben!C156&gt;100),0,IF(AND(Zusatzeingaben!C180&gt;0,Zusatzeingaben!C191&gt;100+Zusatzeingaben!C190),0,C109)))</f>
        <v>0</v>
      </c>
      <c r="D110" s="522">
        <f>IF(AND(Zusatzeingaben!D131+Zusatzeingaben!D139&gt;400,Zusatzeingaben!D160&gt;100,Zusatzeingaben!D138&gt;0,Zusatzeingaben!D159+100&gt;Zusatzeingaben!D160),Zusatzeingaben!D159+100,IF(OR(Zusatzeingaben!D153&gt;100,Zusatzeingaben!D156&gt;100),0,IF(AND(Zusatzeingaben!D180&gt;0,Zusatzeingaben!D191&gt;100+Zusatzeingaben!D190),0,D109)))</f>
        <v>0</v>
      </c>
      <c r="E110" s="522">
        <f>IF(AND(Zusatzeingaben!E131+Zusatzeingaben!E139&gt;400,Zusatzeingaben!E160&gt;100,Zusatzeingaben!E138&gt;0,Zusatzeingaben!E159+100&gt;Zusatzeingaben!E160),Zusatzeingaben!E159+100,IF(OR(Zusatzeingaben!E153&gt;100,Zusatzeingaben!E156&gt;100),0,IF(AND(Zusatzeingaben!E180&gt;0,Zusatzeingaben!E191&gt;100+Zusatzeingaben!E190),0,E109)))</f>
        <v>0</v>
      </c>
      <c r="F110" s="522">
        <f>IF(AND(Zusatzeingaben!F131+Zusatzeingaben!F139&gt;400,Zusatzeingaben!F160&gt;100,Zusatzeingaben!F138&gt;0,Zusatzeingaben!F159+100&gt;Zusatzeingaben!F160),Zusatzeingaben!F159+100,IF(OR(Zusatzeingaben!F153&gt;100,Zusatzeingaben!F156&gt;100),0,IF(AND(Zusatzeingaben!F180&gt;0,Zusatzeingaben!F191&gt;100+Zusatzeingaben!F190),0,F109)))</f>
        <v>0</v>
      </c>
      <c r="G110" s="522">
        <f>IF(AND(Zusatzeingaben!G131+Zusatzeingaben!G139&gt;400,Zusatzeingaben!G160&gt;100,Zusatzeingaben!G138&gt;0,Zusatzeingaben!G159+100&gt;Zusatzeingaben!G160),Zusatzeingaben!G159+100,IF(OR(Zusatzeingaben!G153&gt;100,Zusatzeingaben!G156&gt;100),0,IF(AND(Zusatzeingaben!G180&gt;0,Zusatzeingaben!G191&gt;100+Zusatzeingaben!G190),0,G109)))</f>
        <v>0</v>
      </c>
      <c r="H110" s="522">
        <f>IF(AND(Zusatzeingaben!H131+Zusatzeingaben!H139&gt;400,Zusatzeingaben!H160&gt;100,Zusatzeingaben!H138&gt;0,Zusatzeingaben!H159+100&gt;Zusatzeingaben!H160),Zusatzeingaben!H159+100,IF(OR(Zusatzeingaben!H153&gt;100,Zusatzeingaben!H156&gt;100),0,IF(AND(Zusatzeingaben!H180&gt;0,Zusatzeingaben!H191&gt;100+Zusatzeingaben!H190),0,H109)))</f>
        <v>0</v>
      </c>
      <c r="I110" s="523">
        <f>IF(AND(Zusatzeingaben!I131+Zusatzeingaben!I139&gt;400,Zusatzeingaben!I160&gt;100,Zusatzeingaben!I138&gt;0,Zusatzeingaben!I159+100&gt;Zusatzeingaben!I160),Zusatzeingaben!I159+100,IF(OR(Zusatzeingaben!I153&gt;100,Zusatzeingaben!I156&gt;100),0,IF(AND(Zusatzeingaben!I180&gt;0,Zusatzeingaben!I191&gt;100+Zusatzeingaben!I190),0,I109)))</f>
        <v>0</v>
      </c>
    </row>
    <row r="111" spans="1:9" ht="16.5" hidden="1" customHeight="1">
      <c r="A111" s="1341"/>
      <c r="B111" s="522"/>
      <c r="C111" s="522">
        <f>IF(OR(Zusatzeingaben!C161=100,Zusatzeingaben!C161=200),Zusatzeingaben!C161,C110)</f>
        <v>0</v>
      </c>
      <c r="D111" s="522">
        <f>IF(OR(Zusatzeingaben!D161=100,Zusatzeingaben!D161=200),Zusatzeingaben!D161,D110)</f>
        <v>0</v>
      </c>
      <c r="E111" s="522">
        <f>IF(OR(Zusatzeingaben!E161=100,Zusatzeingaben!E161=200),Zusatzeingaben!E161,E110)</f>
        <v>0</v>
      </c>
      <c r="F111" s="522">
        <f>IF(OR(Zusatzeingaben!F161=100,Zusatzeingaben!F161=200),Zusatzeingaben!F161,F110)</f>
        <v>0</v>
      </c>
      <c r="G111" s="522">
        <f>IF(OR(Zusatzeingaben!G161=100,Zusatzeingaben!G161=200),Zusatzeingaben!G161,G110)</f>
        <v>0</v>
      </c>
      <c r="H111" s="522">
        <f>IF(OR(Zusatzeingaben!H161=100,Zusatzeingaben!H161=200),Zusatzeingaben!H161,H110)</f>
        <v>0</v>
      </c>
      <c r="I111" s="523">
        <f>IF(OR(Zusatzeingaben!I161=100,Zusatzeingaben!I161=200),Zusatzeingaben!I161,I110)</f>
        <v>0</v>
      </c>
    </row>
    <row r="112" spans="1:9" ht="16.5" hidden="1" customHeight="1">
      <c r="A112" s="976">
        <f>IF(B112&gt;0,"./. Grundfreibetrag Lohn / Ehrenamt",0)</f>
        <v>0</v>
      </c>
      <c r="B112" s="1335">
        <f>SUM(C112:I112)</f>
        <v>0</v>
      </c>
      <c r="C112" s="522">
        <f>IF(AND(Zusatzeingaben!C180&gt;0,Zusatzeingaben!C180&lt;Zusatzeingaben!C191),C111,IF(AND(Zusatzeingaben!C180&gt;0,C110=0,Zusatzeingaben!C191&gt;100),0,IF(C109&lt;100,C109,C111)))</f>
        <v>0</v>
      </c>
      <c r="D112" s="522">
        <f>IF(AND(Zusatzeingaben!D180&gt;0,Zusatzeingaben!D180&lt;Zusatzeingaben!D191),D111,IF(AND(Zusatzeingaben!D180&gt;0,D110=0,Zusatzeingaben!D191&gt;100),0,IF(D109&lt;100,D109,D111)))</f>
        <v>0</v>
      </c>
      <c r="E112" s="522">
        <f>IF(AND(Zusatzeingaben!E180&gt;0,Zusatzeingaben!E180&lt;Zusatzeingaben!E191),E111,IF(AND(Zusatzeingaben!E180&gt;0,E110=0,Zusatzeingaben!E191&gt;100),0,IF(E109&lt;100,E109,E111)))</f>
        <v>0</v>
      </c>
      <c r="F112" s="522">
        <f>IF(AND(Zusatzeingaben!F180&gt;0,Zusatzeingaben!F180&lt;Zusatzeingaben!F191),F111,IF(AND(Zusatzeingaben!F180&gt;0,F110=0,Zusatzeingaben!F191&gt;100),0,IF(F109&lt;100,F109,F111)))</f>
        <v>0</v>
      </c>
      <c r="G112" s="522">
        <f>IF(AND(Zusatzeingaben!G180&gt;0,Zusatzeingaben!G180&lt;Zusatzeingaben!G191),G111,IF(AND(Zusatzeingaben!G180&gt;0,G110=0,Zusatzeingaben!G191&gt;100),0,IF(G109&lt;100,G109,G111)))</f>
        <v>0</v>
      </c>
      <c r="H112" s="522">
        <f>IF(AND(Zusatzeingaben!H180&gt;0,Zusatzeingaben!H180&lt;Zusatzeingaben!H191),H111,IF(AND(Zusatzeingaben!H180&gt;0,H110=0,Zusatzeingaben!H191&gt;100),0,IF(H109&lt;100,H109,H111)))</f>
        <v>0</v>
      </c>
      <c r="I112" s="523">
        <f>IF(AND(Zusatzeingaben!I180&gt;0,Zusatzeingaben!I180&lt;Zusatzeingaben!I191),I111,IF(AND(Zusatzeingaben!I180&gt;0,I110=0,Zusatzeingaben!I191&gt;100),0,IF(I109&lt;100,I109,I111)))</f>
        <v>0</v>
      </c>
    </row>
    <row r="113" spans="1:64" ht="16.5" hidden="1" customHeight="1">
      <c r="A113" s="976">
        <f>IF(B113&gt;0,"./. Freibetrag Freiwilligendienste",0)</f>
        <v>0</v>
      </c>
      <c r="B113" s="1335">
        <f>SUM(C113:I113)</f>
        <v>0</v>
      </c>
      <c r="C113" s="522">
        <f>Zusatzeingaben!C173</f>
        <v>0</v>
      </c>
      <c r="D113" s="522">
        <f>Zusatzeingaben!D173</f>
        <v>0</v>
      </c>
      <c r="E113" s="522">
        <f>Zusatzeingaben!E173</f>
        <v>0</v>
      </c>
      <c r="F113" s="522">
        <f>Zusatzeingaben!F173</f>
        <v>0</v>
      </c>
      <c r="G113" s="522">
        <f>Zusatzeingaben!G173</f>
        <v>0</v>
      </c>
      <c r="H113" s="522">
        <f>Zusatzeingaben!H173</f>
        <v>0</v>
      </c>
      <c r="I113" s="523">
        <f>Zusatzeingaben!I173</f>
        <v>0</v>
      </c>
    </row>
    <row r="114" spans="1:64" ht="16.5" hidden="1" customHeight="1">
      <c r="A114" s="1339"/>
      <c r="B114" s="522"/>
      <c r="C114" s="522">
        <f>IF(AND(Zusatzeingaben!C197&gt;0,C58=0),C54*0.3,IF(AND(Zusatzeingaben!C34="nein",C58=0),C54*0.3,0))</f>
        <v>0</v>
      </c>
      <c r="D114" s="522">
        <f>IF(AND(Zusatzeingaben!D197&gt;0,D58=0),D54*0.3,IF(AND(Zusatzeingaben!D34="nein",D58=0),D54*0.3,0))</f>
        <v>0</v>
      </c>
      <c r="E114" s="522">
        <f>IF(AND(Zusatzeingaben!E18&gt;14,Zusatzeingaben!E34="nein",E58=0),E54*0.3,0)</f>
        <v>0</v>
      </c>
      <c r="F114" s="522">
        <f>IF(AND(Zusatzeingaben!F18&gt;14,Zusatzeingaben!F34="nein",F58=0),F54*0.3,0)</f>
        <v>0</v>
      </c>
      <c r="G114" s="522">
        <f>IF(AND(Zusatzeingaben!G18&gt;14,Zusatzeingaben!G34="nein",G58=0),G54*0.3,0)</f>
        <v>0</v>
      </c>
      <c r="H114" s="522">
        <f>IF(AND(Zusatzeingaben!H18&gt;14,Zusatzeingaben!H34="nein",H58=0),H54*0.3,0)</f>
        <v>0</v>
      </c>
      <c r="I114" s="523">
        <f>IF(AND(Zusatzeingaben!I18&gt;14,Zusatzeingaben!I34="nein",I58=0),I54*0.3,0)</f>
        <v>0</v>
      </c>
      <c r="J114" s="1080"/>
      <c r="K114" s="1080"/>
      <c r="L114" s="1080"/>
      <c r="M114" s="1080"/>
      <c r="N114" s="1080"/>
      <c r="O114" s="1080"/>
      <c r="P114" s="1080"/>
      <c r="Q114" s="1080"/>
      <c r="R114" s="1080"/>
      <c r="S114" s="1080"/>
      <c r="T114" s="1080"/>
      <c r="U114" s="1080"/>
      <c r="V114" s="1080"/>
      <c r="W114" s="1080"/>
      <c r="X114" s="1080"/>
      <c r="Y114" s="1080"/>
      <c r="Z114" s="1080"/>
      <c r="AA114" s="1080"/>
      <c r="AB114" s="1080"/>
      <c r="AC114" s="1080"/>
      <c r="AD114" s="1080"/>
      <c r="AE114" s="1080"/>
      <c r="AF114" s="1080"/>
      <c r="AG114" s="1080"/>
      <c r="AH114" s="1080"/>
      <c r="AI114" s="1080"/>
      <c r="AJ114" s="1080"/>
      <c r="AK114" s="1080"/>
      <c r="AL114" s="1080"/>
      <c r="AM114" s="1080"/>
      <c r="AN114" s="1080"/>
      <c r="AO114" s="1080"/>
      <c r="AP114" s="1080"/>
      <c r="AQ114" s="1080"/>
      <c r="AR114" s="1080"/>
      <c r="AS114" s="1080"/>
      <c r="AT114" s="1080"/>
      <c r="AU114" s="1080"/>
      <c r="AV114" s="1080"/>
      <c r="AW114" s="1080"/>
      <c r="AX114" s="1080"/>
      <c r="AY114" s="1080"/>
      <c r="AZ114" s="1080"/>
      <c r="BA114" s="1080"/>
      <c r="BB114" s="1080"/>
      <c r="BC114" s="1080"/>
      <c r="BD114" s="1080"/>
      <c r="BE114" s="1080"/>
      <c r="BF114" s="1080"/>
      <c r="BG114" s="1080"/>
      <c r="BH114" s="1080"/>
      <c r="BI114" s="1080"/>
      <c r="BJ114" s="1080"/>
      <c r="BK114" s="1080"/>
      <c r="BL114" s="1080"/>
    </row>
    <row r="115" spans="1:64" ht="16.5" hidden="1" customHeight="1">
      <c r="A115" s="1339"/>
      <c r="B115" s="522"/>
      <c r="C115" s="522">
        <f>IF(AND(Zusatzeingaben!C197&gt;0,C114=0,C58&gt;0),0,IF(AND(Zusatzeingaben!C34="nein",C114=0,C58&gt;0),0,IF(C114&gt;0,MIN(C114,Zusatzeingaben!$C$233*0.5),D219)))</f>
        <v>0</v>
      </c>
      <c r="D115" s="522">
        <f>IF(AND(Zusatzeingaben!D197&gt;0,D114=0,D58&gt;0),0,IF(AND(Zusatzeingaben!D34="nein",D114=0,D58&gt;0),0,IF(D114&gt;0,MIN(D114,Zusatzeingaben!$C$233*0.5),D224)))</f>
        <v>0</v>
      </c>
      <c r="E115" s="522">
        <f>IF(AND(Zusatzeingaben!E18&gt;14,Zusatzeingaben!E34="nein",E114=0,E58&gt;0),0,IF(Zusatzeingaben!E18&lt;15,0,IF(E114&gt;0,MIN(E114,Zusatzeingaben!$C$233*0.5),D229)))</f>
        <v>0</v>
      </c>
      <c r="F115" s="522">
        <f>IF(AND(Zusatzeingaben!F18&gt;14,Zusatzeingaben!F34="nein",F114=0,F58&gt;0),0,IF(Zusatzeingaben!F18&lt;15,0,IF(F114&gt;0,MIN(F114,Zusatzeingaben!$C$233*0.5),D234)))</f>
        <v>0</v>
      </c>
      <c r="G115" s="522">
        <f>IF(AND(Zusatzeingaben!G18&gt;14,Zusatzeingaben!G34="nein",G114=0,G58&gt;0),0,IF(Zusatzeingaben!G18&lt;15,0,IF(G114&gt;0,MIN(G114,Zusatzeingaben!$C$233*0.5),D239)))</f>
        <v>0</v>
      </c>
      <c r="H115" s="522">
        <f>IF(AND(Zusatzeingaben!H18&gt;14,Zusatzeingaben!H34="nein",H114=0,H58&gt;0),0,IF(Zusatzeingaben!H18&lt;15,0,IF(H114&gt;0,MIN(H114,Zusatzeingaben!$C$233*0.5),D244)))</f>
        <v>0</v>
      </c>
      <c r="I115" s="523">
        <f>IF(AND(Zusatzeingaben!I18&gt;14,Zusatzeingaben!I34="nein",I114=0,I58&gt;0),0,IF(Zusatzeingaben!I18&lt;15,0,IF(I114&gt;0,MIN(I114,Zusatzeingaben!$C$233*0.5),D249)))</f>
        <v>0</v>
      </c>
      <c r="J115" s="1080"/>
      <c r="K115" s="1080"/>
      <c r="L115" s="1080"/>
      <c r="M115" s="1080"/>
      <c r="N115" s="1080"/>
      <c r="O115" s="1080"/>
      <c r="P115" s="1080"/>
      <c r="Q115" s="1080"/>
      <c r="R115" s="1080"/>
      <c r="S115" s="1080"/>
      <c r="T115" s="1080"/>
      <c r="U115" s="1080"/>
      <c r="V115" s="1080"/>
      <c r="W115" s="1080"/>
      <c r="X115" s="1080"/>
      <c r="Y115" s="1080"/>
      <c r="Z115" s="1080"/>
      <c r="AA115" s="1080"/>
      <c r="AB115" s="1080"/>
      <c r="AC115" s="1080"/>
      <c r="AD115" s="1080"/>
      <c r="AE115" s="1080"/>
      <c r="AF115" s="1080"/>
      <c r="AG115" s="1080"/>
      <c r="AH115" s="1080"/>
      <c r="AI115" s="1080"/>
      <c r="AJ115" s="1080"/>
      <c r="AK115" s="1080"/>
      <c r="AL115" s="1080"/>
      <c r="AM115" s="1080"/>
      <c r="AN115" s="1080"/>
      <c r="AO115" s="1080"/>
      <c r="AP115" s="1080"/>
      <c r="AQ115" s="1080"/>
      <c r="AR115" s="1080"/>
      <c r="AS115" s="1080"/>
      <c r="AT115" s="1080"/>
      <c r="AU115" s="1080"/>
      <c r="AV115" s="1080"/>
      <c r="AW115" s="1080"/>
      <c r="AX115" s="1080"/>
      <c r="AY115" s="1080"/>
      <c r="AZ115" s="1080"/>
      <c r="BA115" s="1080"/>
      <c r="BB115" s="1080"/>
      <c r="BC115" s="1080"/>
      <c r="BD115" s="1080"/>
      <c r="BE115" s="1080"/>
      <c r="BF115" s="1080"/>
      <c r="BG115" s="1080"/>
      <c r="BH115" s="1080"/>
      <c r="BI115" s="1080"/>
      <c r="BJ115" s="1080"/>
      <c r="BK115" s="1080"/>
      <c r="BL115" s="1080"/>
    </row>
    <row r="116" spans="1:64" ht="16.5" hidden="1" customHeight="1">
      <c r="A116" s="1339">
        <f>IF(B116&gt;0,"./. Freibetrag bei Erwerbstätigkeit",0)</f>
        <v>0</v>
      </c>
      <c r="B116" s="1335">
        <f t="shared" ref="B116:B121" si="11">SUM(C116:I116)</f>
        <v>0</v>
      </c>
      <c r="C116" s="522">
        <f t="shared" ref="C116:I116" si="12">IF(C54+C58-C112=0,0,IF(C54+C58-C112-C115&lt;0,C54+C58-C112,C115))</f>
        <v>0</v>
      </c>
      <c r="D116" s="522">
        <f t="shared" si="12"/>
        <v>0</v>
      </c>
      <c r="E116" s="522">
        <f t="shared" si="12"/>
        <v>0</v>
      </c>
      <c r="F116" s="522">
        <f t="shared" si="12"/>
        <v>0</v>
      </c>
      <c r="G116" s="522">
        <f t="shared" si="12"/>
        <v>0</v>
      </c>
      <c r="H116" s="522">
        <f t="shared" si="12"/>
        <v>0</v>
      </c>
      <c r="I116" s="523">
        <f t="shared" si="12"/>
        <v>0</v>
      </c>
      <c r="J116" s="1080"/>
      <c r="K116" s="1080"/>
      <c r="L116" s="1080"/>
      <c r="M116" s="1080"/>
      <c r="N116" s="1080"/>
      <c r="O116" s="1080"/>
      <c r="P116" s="1080"/>
      <c r="Q116" s="1080"/>
      <c r="R116" s="1080"/>
      <c r="S116" s="1080"/>
      <c r="T116" s="1080"/>
      <c r="U116" s="1080"/>
      <c r="V116" s="1080"/>
      <c r="W116" s="1080"/>
      <c r="X116" s="1080"/>
      <c r="Y116" s="1080"/>
      <c r="Z116" s="1080"/>
      <c r="AA116" s="1080"/>
      <c r="AB116" s="1080"/>
      <c r="AC116" s="1080"/>
      <c r="AD116" s="1080"/>
      <c r="AE116" s="1080"/>
      <c r="AF116" s="1080"/>
      <c r="AG116" s="1080"/>
      <c r="AH116" s="1080"/>
      <c r="AI116" s="1080"/>
      <c r="AJ116" s="1080"/>
      <c r="AK116" s="1080"/>
      <c r="AL116" s="1080"/>
      <c r="AM116" s="1080"/>
      <c r="AN116" s="1080"/>
      <c r="AO116" s="1080"/>
      <c r="AP116" s="1080"/>
      <c r="AQ116" s="1080"/>
      <c r="AR116" s="1080"/>
      <c r="AS116" s="1080"/>
      <c r="AT116" s="1080"/>
      <c r="AU116" s="1080"/>
      <c r="AV116" s="1080"/>
      <c r="AW116" s="1080"/>
      <c r="AX116" s="1080"/>
      <c r="AY116" s="1080"/>
      <c r="AZ116" s="1080"/>
      <c r="BA116" s="1080"/>
      <c r="BB116" s="1080"/>
      <c r="BC116" s="1080"/>
      <c r="BD116" s="1080"/>
      <c r="BE116" s="1080"/>
      <c r="BF116" s="1080"/>
      <c r="BG116" s="1080"/>
      <c r="BH116" s="1080"/>
      <c r="BI116" s="1080"/>
      <c r="BJ116" s="1080"/>
      <c r="BK116" s="1080"/>
      <c r="BL116" s="1080"/>
    </row>
    <row r="117" spans="1:64" ht="16.5" hidden="1" customHeight="1">
      <c r="A117" s="1339">
        <f>IF(B117&gt;0,"./. Unterhaltsverpflichtungen",0)</f>
        <v>0</v>
      </c>
      <c r="B117" s="1335">
        <f t="shared" si="11"/>
        <v>0</v>
      </c>
      <c r="C117" s="522">
        <f>IF(C69=0,0,Zusatzeingaben!C219)</f>
        <v>0</v>
      </c>
      <c r="D117" s="522">
        <f>IF(D69=0,0,Zusatzeingaben!D219)</f>
        <v>0</v>
      </c>
      <c r="E117" s="522">
        <f>IF(E69=0,0,Zusatzeingaben!E219)</f>
        <v>0</v>
      </c>
      <c r="F117" s="522">
        <f>IF(F69=0,0,Zusatzeingaben!F219)</f>
        <v>0</v>
      </c>
      <c r="G117" s="522">
        <f>IF(G69=0,0,Zusatzeingaben!G219)</f>
        <v>0</v>
      </c>
      <c r="H117" s="522">
        <f>IF(H69=0,0,Zusatzeingaben!H219)</f>
        <v>0</v>
      </c>
      <c r="I117" s="523">
        <f>IF(I69=0,0,Zusatzeingaben!I219)</f>
        <v>0</v>
      </c>
      <c r="J117" s="1080"/>
      <c r="K117" s="1080"/>
      <c r="L117" s="1080"/>
      <c r="M117" s="1080"/>
      <c r="N117" s="1080"/>
      <c r="O117" s="1080"/>
      <c r="P117" s="1080"/>
      <c r="Q117" s="1080"/>
      <c r="R117" s="1080"/>
      <c r="S117" s="1080"/>
      <c r="T117" s="1080"/>
      <c r="U117" s="1080"/>
      <c r="V117" s="1080"/>
      <c r="W117" s="1080"/>
      <c r="X117" s="1080"/>
      <c r="Y117" s="1080"/>
      <c r="Z117" s="1080"/>
      <c r="AA117" s="1080"/>
      <c r="AB117" s="1080"/>
      <c r="AC117" s="1080"/>
      <c r="AD117" s="1080"/>
      <c r="AE117" s="1080"/>
      <c r="AF117" s="1080"/>
      <c r="AG117" s="1080"/>
      <c r="AH117" s="1080"/>
      <c r="AI117" s="1080"/>
      <c r="AJ117" s="1080"/>
      <c r="AK117" s="1080"/>
      <c r="AL117" s="1080"/>
      <c r="AM117" s="1080"/>
      <c r="AN117" s="1080"/>
      <c r="AO117" s="1080"/>
      <c r="AP117" s="1080"/>
      <c r="AQ117" s="1080"/>
      <c r="AR117" s="1080"/>
      <c r="AS117" s="1080"/>
      <c r="AT117" s="1080"/>
      <c r="AU117" s="1080"/>
      <c r="AV117" s="1080"/>
      <c r="AW117" s="1080"/>
      <c r="AX117" s="1080"/>
      <c r="AY117" s="1080"/>
      <c r="AZ117" s="1080"/>
      <c r="BA117" s="1080"/>
      <c r="BB117" s="1080"/>
      <c r="BC117" s="1080"/>
      <c r="BD117" s="1080"/>
      <c r="BE117" s="1080"/>
      <c r="BF117" s="1080"/>
      <c r="BG117" s="1080"/>
      <c r="BH117" s="1080"/>
      <c r="BI117" s="1080"/>
      <c r="BJ117" s="1080"/>
      <c r="BK117" s="1080"/>
      <c r="BL117" s="1080"/>
    </row>
    <row r="118" spans="1:64" ht="16.5" hidden="1" customHeight="1">
      <c r="A118" s="1369">
        <f>IF(B118&gt;0,"./. Elterngeldfreibetrag",0)</f>
        <v>0</v>
      </c>
      <c r="B118" s="1335">
        <f t="shared" si="11"/>
        <v>0</v>
      </c>
      <c r="C118" s="522">
        <f>Zusatzeingaben!C179</f>
        <v>0</v>
      </c>
      <c r="D118" s="522">
        <f>Zusatzeingaben!D179</f>
        <v>0</v>
      </c>
      <c r="E118" s="522"/>
      <c r="F118" s="522"/>
      <c r="G118" s="1361"/>
      <c r="H118" s="1361"/>
      <c r="I118" s="1370"/>
      <c r="J118" s="1080"/>
      <c r="K118" s="1080"/>
      <c r="L118" s="1080"/>
      <c r="M118" s="1080"/>
      <c r="N118" s="1080"/>
      <c r="O118" s="1080"/>
      <c r="P118" s="1080"/>
      <c r="Q118" s="1080"/>
      <c r="R118" s="1080"/>
      <c r="S118" s="1080"/>
      <c r="T118" s="1080"/>
      <c r="U118" s="1080"/>
      <c r="V118" s="1080"/>
      <c r="W118" s="1080"/>
      <c r="X118" s="1080"/>
      <c r="Y118" s="1080"/>
      <c r="Z118" s="1080"/>
      <c r="AA118" s="1080"/>
      <c r="AB118" s="1080"/>
      <c r="AC118" s="1080"/>
      <c r="AD118" s="1080"/>
      <c r="AE118" s="1080"/>
      <c r="AF118" s="1080"/>
      <c r="AG118" s="1080"/>
      <c r="AH118" s="1080"/>
      <c r="AI118" s="1080"/>
      <c r="AJ118" s="1080"/>
      <c r="AK118" s="1080"/>
      <c r="AL118" s="1080"/>
      <c r="AM118" s="1080"/>
      <c r="AN118" s="1080"/>
      <c r="AO118" s="1080"/>
      <c r="AP118" s="1080"/>
      <c r="AQ118" s="1080"/>
      <c r="AR118" s="1080"/>
      <c r="AS118" s="1080"/>
      <c r="AT118" s="1080"/>
      <c r="AU118" s="1080"/>
      <c r="AV118" s="1080"/>
      <c r="AW118" s="1080"/>
      <c r="AX118" s="1080"/>
      <c r="AY118" s="1080"/>
      <c r="AZ118" s="1080"/>
      <c r="BA118" s="1080"/>
      <c r="BB118" s="1080"/>
      <c r="BC118" s="1080"/>
      <c r="BD118" s="1080"/>
      <c r="BE118" s="1080"/>
      <c r="BF118" s="1080"/>
      <c r="BG118" s="1080"/>
      <c r="BH118" s="1080"/>
      <c r="BI118" s="1080"/>
      <c r="BJ118" s="1080"/>
      <c r="BK118" s="1080"/>
      <c r="BL118" s="1080"/>
    </row>
    <row r="119" spans="1:64" ht="18" hidden="1" customHeight="1">
      <c r="A119" s="1371">
        <f>IF(AND(C119&gt;0,C119=Zusatzeingaben!C189),"./. Grundfreibetrag Ausbildungsförderung",IF(AND(D119&gt;0,D119=Zusatzeingaben!D189),"./. Grundfreibetrag Ausbildungsförderung",IF(AND(E119&gt;0,E119=Zusatzeingaben!E189),"./. Grundfreibetrag Ausbildungsförderung",IF(AND(F119&gt;0,F119=Zusatzeingaben!F189),"./. Grundfreibetrag Ausbildungsförderung",IF(AND(G119&gt;0,G119=Zusatzeingaben!G189),"./. Grundfreibetrag Ausbildungsförderung",IF(AND(H119&gt;0,H119=Zusatzeingaben!H189),"./. Grundfreibetrag Ausbildungsförderung",IF(AND(I119&gt;0,I119=Zusatzeingaben!I189),"./. Grundfreibetrag Ausbildungsförderung",IF(AND(C119&gt;0,C119=Zusatzeingaben!C190),"./. Ausgaben für die Ausbildung",IF(AND(D119&gt;0,D119=Zusatzeingaben!D190),"./. Ausgaben für die Ausbildung",IF(AND(E119&gt;0,E119=Zusatzeingaben!E190),"./. Ausgaben für die Ausbildung",IF(AND(F119&gt;0,F119=Zusatzeingaben!F190),"./. Ausgaben für die Ausbildung",IF(AND(G119&gt;0,G119=Zusatzeingaben!G190),"./. Ausgaben für die Ausbildung",IF(AND(H119&gt;0,H119=Zusatzeingaben!H190),"./. Ausgaben für die Ausbildung",IF(AND(I119&gt;0,I119=Zusatzeingaben!I190),"./. Ausgaben für die Ausbildung",0))))))))))))))</f>
        <v>0</v>
      </c>
      <c r="B119" s="1357">
        <f t="shared" si="11"/>
        <v>0</v>
      </c>
      <c r="C119" s="1024">
        <f>IF(Zusatzeingaben!C191&gt;100,Zusatzeingaben!C190,IF(AND(Zusatzeingaben!C190&gt;0,Zusatzeingaben!C190&gt;Zusatzeingaben!C189),Zusatzeingaben!C190,Zusatzeingaben!C189))</f>
        <v>0</v>
      </c>
      <c r="D119" s="1024">
        <f>IF(Zusatzeingaben!D191&gt;100,Zusatzeingaben!D190,IF(AND(Zusatzeingaben!D190&gt;0,Zusatzeingaben!D190&gt;Zusatzeingaben!D189),Zusatzeingaben!D190,Zusatzeingaben!D189))</f>
        <v>0</v>
      </c>
      <c r="E119" s="1024">
        <f>IF(Zusatzeingaben!E191&gt;100,Zusatzeingaben!E190,IF(AND(Zusatzeingaben!E190&gt;0,Zusatzeingaben!E190&gt;Zusatzeingaben!E189),Zusatzeingaben!E190,Zusatzeingaben!E189))</f>
        <v>0</v>
      </c>
      <c r="F119" s="1024">
        <f>IF(Zusatzeingaben!F191&gt;100,Zusatzeingaben!F190,IF(AND(Zusatzeingaben!F190&gt;0,Zusatzeingaben!F190&gt;Zusatzeingaben!F189),Zusatzeingaben!F190,Zusatzeingaben!F189))</f>
        <v>0</v>
      </c>
      <c r="G119" s="1024">
        <f>IF(Zusatzeingaben!G191&gt;100,Zusatzeingaben!G190,IF(AND(Zusatzeingaben!G190&gt;0,Zusatzeingaben!G190&gt;Zusatzeingaben!G189),Zusatzeingaben!G190,Zusatzeingaben!G189))</f>
        <v>0</v>
      </c>
      <c r="H119" s="1024">
        <f>IF(Zusatzeingaben!H191&gt;100,Zusatzeingaben!H190,IF(AND(Zusatzeingaben!H190&gt;0,Zusatzeingaben!H190&gt;Zusatzeingaben!H189),Zusatzeingaben!H190,Zusatzeingaben!H189))</f>
        <v>0</v>
      </c>
      <c r="I119" s="1025">
        <f>IF(Zusatzeingaben!I191&gt;100,Zusatzeingaben!I190,IF(AND(Zusatzeingaben!I190&gt;0,Zusatzeingaben!I190&gt;Zusatzeingaben!I189),Zusatzeingaben!I190,Zusatzeingaben!I189))</f>
        <v>0</v>
      </c>
      <c r="J119" s="1080"/>
      <c r="K119" s="1080"/>
      <c r="L119" s="1080"/>
      <c r="M119" s="1080"/>
      <c r="N119" s="1080"/>
      <c r="O119" s="1080"/>
      <c r="P119" s="1080"/>
      <c r="Q119" s="1080"/>
      <c r="R119" s="1080"/>
      <c r="S119" s="1080"/>
      <c r="T119" s="1080"/>
      <c r="U119" s="1080"/>
      <c r="V119" s="1080"/>
      <c r="W119" s="1080"/>
      <c r="X119" s="1080"/>
      <c r="Y119" s="1080"/>
      <c r="Z119" s="1080"/>
      <c r="AA119" s="1080"/>
      <c r="AB119" s="1080"/>
      <c r="AC119" s="1080"/>
      <c r="AD119" s="1080"/>
      <c r="AE119" s="1080"/>
      <c r="AF119" s="1080"/>
      <c r="AG119" s="1080"/>
      <c r="AH119" s="1080"/>
      <c r="AI119" s="1080"/>
      <c r="AJ119" s="1080"/>
      <c r="AK119" s="1080"/>
      <c r="AL119" s="1080"/>
      <c r="AM119" s="1080"/>
      <c r="AN119" s="1080"/>
      <c r="AO119" s="1080"/>
      <c r="AP119" s="1080"/>
      <c r="AQ119" s="1080"/>
      <c r="AR119" s="1080"/>
      <c r="AS119" s="1080"/>
      <c r="AT119" s="1080"/>
      <c r="AU119" s="1080"/>
      <c r="AV119" s="1080"/>
      <c r="AW119" s="1080"/>
      <c r="AX119" s="1080"/>
      <c r="AY119" s="1080"/>
      <c r="AZ119" s="1080"/>
      <c r="BA119" s="1080"/>
      <c r="BB119" s="1080"/>
      <c r="BC119" s="1080"/>
      <c r="BD119" s="1080"/>
      <c r="BE119" s="1080"/>
      <c r="BF119" s="1080"/>
      <c r="BG119" s="1080"/>
      <c r="BH119" s="1080"/>
      <c r="BI119" s="1080"/>
      <c r="BJ119" s="1080"/>
      <c r="BK119" s="1080"/>
      <c r="BL119" s="1080"/>
    </row>
    <row r="120" spans="1:64" ht="18" hidden="1" customHeight="1">
      <c r="A120" s="1037"/>
      <c r="B120" s="637">
        <f t="shared" si="11"/>
        <v>0</v>
      </c>
      <c r="C120" s="1261">
        <f t="shared" ref="C120:I120" si="13">C69-C75-C81-C86-C91-C97-C103-C107-C108-C112-C113-C116-C117-C118-C119</f>
        <v>0</v>
      </c>
      <c r="D120" s="1261">
        <f t="shared" si="13"/>
        <v>0</v>
      </c>
      <c r="E120" s="1261">
        <f t="shared" si="13"/>
        <v>0</v>
      </c>
      <c r="F120" s="1261">
        <f t="shared" si="13"/>
        <v>0</v>
      </c>
      <c r="G120" s="1261">
        <f t="shared" si="13"/>
        <v>0</v>
      </c>
      <c r="H120" s="1261">
        <f t="shared" si="13"/>
        <v>0</v>
      </c>
      <c r="I120" s="1372">
        <f t="shared" si="13"/>
        <v>0</v>
      </c>
      <c r="J120" s="1080"/>
      <c r="K120" s="1080"/>
      <c r="L120" s="1080"/>
      <c r="M120" s="1080"/>
      <c r="N120" s="1080"/>
      <c r="O120" s="1080"/>
      <c r="P120" s="1080"/>
      <c r="Q120" s="1080"/>
      <c r="R120" s="1080"/>
      <c r="S120" s="1080"/>
      <c r="T120" s="1080"/>
      <c r="U120" s="1080"/>
      <c r="V120" s="1080"/>
      <c r="W120" s="1080"/>
      <c r="X120" s="1080"/>
      <c r="Y120" s="1080"/>
      <c r="Z120" s="1080"/>
      <c r="AA120" s="1080"/>
      <c r="AB120" s="1080"/>
      <c r="AC120" s="1080"/>
      <c r="AD120" s="1080"/>
      <c r="AE120" s="1080"/>
      <c r="AF120" s="1080"/>
      <c r="AG120" s="1080"/>
      <c r="AH120" s="1080"/>
      <c r="AI120" s="1080"/>
      <c r="AJ120" s="1080"/>
      <c r="AK120" s="1080"/>
      <c r="AL120" s="1080"/>
      <c r="AM120" s="1080"/>
      <c r="AN120" s="1080"/>
      <c r="AO120" s="1080"/>
      <c r="AP120" s="1080"/>
      <c r="AQ120" s="1080"/>
      <c r="AR120" s="1080"/>
      <c r="AS120" s="1080"/>
      <c r="AT120" s="1080"/>
      <c r="AU120" s="1080"/>
      <c r="AV120" s="1080"/>
      <c r="AW120" s="1080"/>
      <c r="AX120" s="1080"/>
      <c r="AY120" s="1080"/>
      <c r="AZ120" s="1080"/>
      <c r="BA120" s="1080"/>
      <c r="BB120" s="1080"/>
      <c r="BC120" s="1080"/>
      <c r="BD120" s="1080"/>
      <c r="BE120" s="1080"/>
      <c r="BF120" s="1080"/>
      <c r="BG120" s="1080"/>
      <c r="BH120" s="1080"/>
      <c r="BI120" s="1080"/>
      <c r="BJ120" s="1080"/>
      <c r="BK120" s="1080"/>
      <c r="BL120" s="1080"/>
    </row>
    <row r="121" spans="1:64" ht="21" hidden="1" customHeight="1">
      <c r="A121" s="1373" t="s">
        <v>2168</v>
      </c>
      <c r="B121" s="1374">
        <f t="shared" si="11"/>
        <v>0</v>
      </c>
      <c r="C121" s="1374">
        <f t="shared" ref="C121:I121" si="14">IF(C120&lt;0,0,C120)</f>
        <v>0</v>
      </c>
      <c r="D121" s="1374">
        <f t="shared" si="14"/>
        <v>0</v>
      </c>
      <c r="E121" s="1374">
        <f t="shared" si="14"/>
        <v>0</v>
      </c>
      <c r="F121" s="1374">
        <f t="shared" si="14"/>
        <v>0</v>
      </c>
      <c r="G121" s="1374">
        <f t="shared" si="14"/>
        <v>0</v>
      </c>
      <c r="H121" s="1374">
        <f t="shared" si="14"/>
        <v>0</v>
      </c>
      <c r="I121" s="1375">
        <f t="shared" si="14"/>
        <v>0</v>
      </c>
      <c r="J121" s="1080"/>
      <c r="K121" s="1080"/>
      <c r="L121" s="1080"/>
      <c r="M121" s="1080"/>
      <c r="N121" s="1080"/>
      <c r="O121" s="1080"/>
      <c r="P121" s="1080"/>
      <c r="Q121" s="1080"/>
      <c r="R121" s="1080"/>
      <c r="S121" s="1080"/>
      <c r="T121" s="1080"/>
      <c r="U121" s="1080"/>
      <c r="V121" s="1080"/>
      <c r="W121" s="1080"/>
      <c r="X121" s="1080"/>
      <c r="Y121" s="1080"/>
      <c r="Z121" s="1080"/>
      <c r="AA121" s="1080"/>
      <c r="AB121" s="1080"/>
      <c r="AC121" s="1080"/>
      <c r="AD121" s="1080"/>
      <c r="AE121" s="1080"/>
      <c r="AF121" s="1080"/>
      <c r="AG121" s="1080"/>
      <c r="AH121" s="1080"/>
      <c r="AI121" s="1080"/>
      <c r="AJ121" s="1080"/>
      <c r="AK121" s="1080"/>
      <c r="AL121" s="1080"/>
      <c r="AM121" s="1080"/>
      <c r="AN121" s="1080"/>
      <c r="AO121" s="1080"/>
      <c r="AP121" s="1080"/>
      <c r="AQ121" s="1080"/>
      <c r="AR121" s="1080"/>
      <c r="AS121" s="1080"/>
      <c r="AT121" s="1080"/>
      <c r="AU121" s="1080"/>
      <c r="AV121" s="1080"/>
      <c r="AW121" s="1080"/>
      <c r="AX121" s="1080"/>
      <c r="AY121" s="1080"/>
      <c r="AZ121" s="1080"/>
      <c r="BA121" s="1080"/>
      <c r="BB121" s="1080"/>
      <c r="BC121" s="1080"/>
      <c r="BD121" s="1080"/>
      <c r="BE121" s="1080"/>
      <c r="BF121" s="1080"/>
      <c r="BG121" s="1080"/>
      <c r="BH121" s="1080"/>
      <c r="BI121" s="1080"/>
      <c r="BJ121" s="1080"/>
      <c r="BK121" s="1080"/>
      <c r="BL121" s="1080"/>
    </row>
    <row r="122" spans="1:64" ht="20.100000000000001" hidden="1" customHeight="1">
      <c r="J122" s="1080"/>
      <c r="K122" s="1080"/>
      <c r="L122" s="1080"/>
      <c r="M122" s="1080"/>
      <c r="N122" s="1080"/>
      <c r="O122" s="1080"/>
      <c r="P122" s="1080"/>
      <c r="Q122" s="1080"/>
      <c r="R122" s="1080"/>
      <c r="S122" s="1080"/>
      <c r="T122" s="1080"/>
      <c r="U122" s="1080"/>
      <c r="V122" s="1080"/>
      <c r="W122" s="1080"/>
      <c r="X122" s="1080"/>
      <c r="Y122" s="1080"/>
      <c r="Z122" s="1080"/>
      <c r="AA122" s="1080"/>
      <c r="AB122" s="1080"/>
      <c r="AC122" s="1080"/>
      <c r="AD122" s="1080"/>
      <c r="AE122" s="1080"/>
      <c r="AF122" s="1080"/>
      <c r="AG122" s="1080"/>
      <c r="AH122" s="1080"/>
      <c r="AI122" s="1080"/>
      <c r="AJ122" s="1080"/>
      <c r="AK122" s="1080"/>
      <c r="AL122" s="1080"/>
      <c r="AM122" s="1080"/>
      <c r="AN122" s="1080"/>
      <c r="AO122" s="1080"/>
      <c r="AP122" s="1080"/>
      <c r="AQ122" s="1080"/>
      <c r="AR122" s="1080"/>
      <c r="AS122" s="1080"/>
      <c r="AT122" s="1080"/>
      <c r="AU122" s="1080"/>
      <c r="AV122" s="1080"/>
      <c r="AW122" s="1080"/>
      <c r="AX122" s="1080"/>
      <c r="AY122" s="1080"/>
      <c r="AZ122" s="1080"/>
      <c r="BA122" s="1080"/>
      <c r="BB122" s="1080"/>
      <c r="BC122" s="1080"/>
      <c r="BD122" s="1080"/>
      <c r="BE122" s="1080"/>
      <c r="BF122" s="1080"/>
      <c r="BG122" s="1080"/>
      <c r="BH122" s="1080"/>
      <c r="BI122" s="1080"/>
      <c r="BJ122" s="1080"/>
      <c r="BK122" s="1080"/>
      <c r="BL122" s="1080"/>
    </row>
    <row r="123" spans="1:64" ht="9.75" hidden="1" customHeight="1"/>
    <row r="124" spans="1:64" ht="21.75" hidden="1" customHeight="1">
      <c r="A124" s="1319"/>
      <c r="B124" s="1320" t="s">
        <v>2228</v>
      </c>
      <c r="C124" s="1316"/>
      <c r="D124" s="1316"/>
      <c r="E124" s="1316"/>
      <c r="F124" s="1316"/>
      <c r="G124" s="1316"/>
      <c r="H124" s="1316"/>
      <c r="I124" s="1321"/>
      <c r="J124" s="1080"/>
      <c r="K124" s="1080"/>
      <c r="L124" s="1080"/>
      <c r="M124" s="1080"/>
      <c r="N124" s="1080"/>
      <c r="O124" s="1080"/>
      <c r="P124" s="1080"/>
      <c r="Q124" s="1080"/>
      <c r="R124" s="1080"/>
      <c r="S124" s="1080"/>
      <c r="T124" s="1080"/>
      <c r="U124" s="1080"/>
      <c r="V124" s="1080"/>
      <c r="W124" s="1080"/>
      <c r="X124" s="1080"/>
      <c r="Y124" s="1080"/>
      <c r="Z124" s="1080"/>
      <c r="AA124" s="1080"/>
      <c r="AB124" s="1080"/>
      <c r="AC124" s="1080"/>
      <c r="AD124" s="1080"/>
      <c r="AE124" s="1080"/>
      <c r="AF124" s="1080"/>
      <c r="AG124" s="1080"/>
      <c r="AH124" s="1080"/>
      <c r="AI124" s="1080"/>
      <c r="AJ124" s="1080"/>
      <c r="AK124" s="1080"/>
      <c r="AL124" s="1080"/>
      <c r="AM124" s="1080"/>
      <c r="AN124" s="1080"/>
      <c r="AO124" s="1080"/>
      <c r="AP124" s="1080"/>
      <c r="AQ124" s="1080"/>
      <c r="AR124" s="1080"/>
      <c r="AS124" s="1080"/>
      <c r="AT124" s="1080"/>
      <c r="AU124" s="1080"/>
      <c r="AV124" s="1080"/>
      <c r="AW124" s="1080"/>
      <c r="AX124" s="1080"/>
      <c r="AY124" s="1080"/>
      <c r="AZ124" s="1080"/>
      <c r="BA124" s="1080"/>
      <c r="BB124" s="1080"/>
      <c r="BC124" s="1080"/>
      <c r="BD124" s="1080"/>
      <c r="BE124" s="1080"/>
      <c r="BF124" s="1080"/>
      <c r="BG124" s="1080"/>
      <c r="BH124" s="1080"/>
      <c r="BI124" s="1080"/>
      <c r="BJ124" s="1080"/>
      <c r="BK124" s="1080"/>
      <c r="BL124" s="1080"/>
    </row>
    <row r="125" spans="1:64" ht="18.75" hidden="1" customHeight="1">
      <c r="A125" s="839"/>
      <c r="B125" s="1322" t="s">
        <v>246</v>
      </c>
      <c r="C125" s="1322" t="str">
        <f>Zusatzeingaben!C4</f>
        <v>Antragsteller</v>
      </c>
      <c r="D125" s="1322" t="str">
        <f>Zusatzeingaben!D4</f>
        <v>Partner(in)</v>
      </c>
      <c r="E125" s="1322" t="str">
        <f>Zusatzeingaben!E4</f>
        <v>Kind 1</v>
      </c>
      <c r="F125" s="1322" t="s">
        <v>145</v>
      </c>
      <c r="G125" s="1322" t="s">
        <v>146</v>
      </c>
      <c r="H125" s="1322" t="s">
        <v>147</v>
      </c>
      <c r="I125" s="1323" t="s">
        <v>148</v>
      </c>
    </row>
    <row r="126" spans="1:64" ht="17.25" hidden="1" customHeight="1">
      <c r="A126" s="1342" t="s">
        <v>127</v>
      </c>
      <c r="B126" s="1335">
        <f>SUM(C126:I126)</f>
        <v>449</v>
      </c>
      <c r="C126" s="1016">
        <f t="shared" ref="C126:I126" si="15">C50</f>
        <v>449</v>
      </c>
      <c r="D126" s="1016">
        <f t="shared" si="15"/>
        <v>0</v>
      </c>
      <c r="E126" s="1016">
        <f t="shared" si="15"/>
        <v>0</v>
      </c>
      <c r="F126" s="1016">
        <f t="shared" si="15"/>
        <v>0</v>
      </c>
      <c r="G126" s="1016">
        <f t="shared" si="15"/>
        <v>0</v>
      </c>
      <c r="H126" s="1016">
        <f t="shared" si="15"/>
        <v>0</v>
      </c>
      <c r="I126" s="1017">
        <f t="shared" si="15"/>
        <v>0</v>
      </c>
    </row>
    <row r="127" spans="1:64" ht="19.5" hidden="1" customHeight="1">
      <c r="A127" s="1376">
        <f>IF(B127&gt;0,"./. Einkommen Kinder",0)</f>
        <v>0</v>
      </c>
      <c r="B127" s="1377">
        <f>SUM(C127:I127)</f>
        <v>0</v>
      </c>
      <c r="C127" s="1378"/>
      <c r="D127" s="1378"/>
      <c r="E127" s="1227">
        <f>E121</f>
        <v>0</v>
      </c>
      <c r="F127" s="1227">
        <f>F121</f>
        <v>0</v>
      </c>
      <c r="G127" s="1227">
        <f>G121</f>
        <v>0</v>
      </c>
      <c r="H127" s="1227">
        <f>H121</f>
        <v>0</v>
      </c>
      <c r="I127" s="1228">
        <f>I121</f>
        <v>0</v>
      </c>
    </row>
    <row r="128" spans="1:64" ht="17.25" hidden="1" customHeight="1">
      <c r="A128" s="1379"/>
      <c r="B128" s="1380"/>
      <c r="C128" s="1380"/>
      <c r="D128" s="1380"/>
      <c r="E128" s="507">
        <f>E126-E127</f>
        <v>0</v>
      </c>
      <c r="F128" s="507">
        <f>F126-F127</f>
        <v>0</v>
      </c>
      <c r="G128" s="507">
        <f>G126-G127</f>
        <v>0</v>
      </c>
      <c r="H128" s="507">
        <f>H126-H127</f>
        <v>0</v>
      </c>
      <c r="I128" s="508">
        <f>I126-I127</f>
        <v>0</v>
      </c>
    </row>
    <row r="129" spans="1:11" ht="17.25" hidden="1" customHeight="1">
      <c r="A129" s="833"/>
      <c r="B129" s="869"/>
      <c r="C129" s="899"/>
      <c r="D129" s="899"/>
      <c r="E129" s="899">
        <f>IF(E128&lt;0,0,E128)</f>
        <v>0</v>
      </c>
      <c r="F129" s="899">
        <f>IF(F128&lt;0,0,F128)</f>
        <v>0</v>
      </c>
      <c r="G129" s="899">
        <f>IF(G128&lt;0,0,G128)</f>
        <v>0</v>
      </c>
      <c r="H129" s="899">
        <f>IF(H128&lt;0,0,H128)</f>
        <v>0</v>
      </c>
      <c r="I129" s="900">
        <f>IF(I128&lt;0,0,I128)</f>
        <v>0</v>
      </c>
    </row>
    <row r="130" spans="1:11" ht="19.5" hidden="1" customHeight="1">
      <c r="A130" s="1342" t="s">
        <v>2170</v>
      </c>
      <c r="B130" s="1335">
        <f>SUM(C130:I130)</f>
        <v>449</v>
      </c>
      <c r="C130" s="1016">
        <f>C126</f>
        <v>449</v>
      </c>
      <c r="D130" s="1016">
        <f>D126</f>
        <v>0</v>
      </c>
      <c r="E130" s="1016">
        <f>E129</f>
        <v>0</v>
      </c>
      <c r="F130" s="1016">
        <f>F129</f>
        <v>0</v>
      </c>
      <c r="G130" s="1016">
        <f>G129</f>
        <v>0</v>
      </c>
      <c r="H130" s="1016">
        <f>H129</f>
        <v>0</v>
      </c>
      <c r="I130" s="1017">
        <f>I129</f>
        <v>0</v>
      </c>
      <c r="J130" s="1381">
        <f>COUNTIF(E130:I130,"&gt;0")</f>
        <v>0</v>
      </c>
      <c r="K130" s="1154"/>
    </row>
    <row r="131" spans="1:11" ht="18" hidden="1" customHeight="1">
      <c r="A131" s="1342"/>
      <c r="B131" s="1335">
        <f>SUM(C131:I131)</f>
        <v>449</v>
      </c>
      <c r="C131" s="1016">
        <f>IF(C10="ja",C130,0)</f>
        <v>449</v>
      </c>
      <c r="D131" s="1016">
        <f>IF(D10="ja",D130,0)</f>
        <v>0</v>
      </c>
      <c r="E131" s="1016">
        <f>IF(AND(Zusatzeingaben!E37=0,E10="ja"),E130,0)</f>
        <v>0</v>
      </c>
      <c r="F131" s="1016">
        <f>IF(F10="ja",F130,0)</f>
        <v>0</v>
      </c>
      <c r="G131" s="1016">
        <f>IF(G10="ja",G130,0)</f>
        <v>0</v>
      </c>
      <c r="H131" s="1016">
        <f>IF(H10="ja",H130,0)</f>
        <v>0</v>
      </c>
      <c r="I131" s="1017">
        <f>IF(I10="ja",I130,0)</f>
        <v>0</v>
      </c>
    </row>
    <row r="132" spans="1:11" ht="17.25" hidden="1" customHeight="1">
      <c r="A132" s="1382" t="s">
        <v>2171</v>
      </c>
      <c r="B132" s="1383">
        <f>SUM(C132:I132)</f>
        <v>1</v>
      </c>
      <c r="C132" s="1384">
        <f>IF(AND(B131&gt;0,C10="ja"),C131/B131,0)</f>
        <v>1</v>
      </c>
      <c r="D132" s="1384">
        <f t="shared" ref="D132:I132" si="16">IF(AND($B$131&gt;0,D11&gt;0,D10="ja"),D131/$B$131,0)</f>
        <v>0</v>
      </c>
      <c r="E132" s="1384">
        <f t="shared" si="16"/>
        <v>0</v>
      </c>
      <c r="F132" s="1384">
        <f t="shared" si="16"/>
        <v>0</v>
      </c>
      <c r="G132" s="1384">
        <f t="shared" si="16"/>
        <v>0</v>
      </c>
      <c r="H132" s="1384">
        <f t="shared" si="16"/>
        <v>0</v>
      </c>
      <c r="I132" s="1385">
        <f t="shared" si="16"/>
        <v>0</v>
      </c>
    </row>
    <row r="133" spans="1:11" ht="19.5" hidden="1" customHeight="1">
      <c r="A133" s="1386"/>
      <c r="B133" s="1335"/>
      <c r="C133" s="1384"/>
      <c r="D133" s="1384"/>
      <c r="E133" s="522">
        <f>IF(E128&lt;0,E128,0)</f>
        <v>0</v>
      </c>
      <c r="F133" s="522">
        <f>IF(F128&lt;0,F128,0)</f>
        <v>0</v>
      </c>
      <c r="G133" s="522">
        <f>IF(G128&lt;0,G128,0)</f>
        <v>0</v>
      </c>
      <c r="H133" s="522">
        <f>IF(H128&lt;0,H128,0)</f>
        <v>0</v>
      </c>
      <c r="I133" s="523">
        <f>IF(I128&lt;0,I128,0)</f>
        <v>0</v>
      </c>
    </row>
    <row r="134" spans="1:11" hidden="1">
      <c r="A134" s="1387"/>
      <c r="B134" s="1249"/>
      <c r="C134" s="637"/>
      <c r="D134" s="637"/>
      <c r="E134" s="637">
        <f>IF(E133&lt;-E62,-E62,E133)</f>
        <v>0</v>
      </c>
      <c r="F134" s="637">
        <f>IF(F133&lt;-F62,-F62,F133)</f>
        <v>0</v>
      </c>
      <c r="G134" s="637">
        <f>IF(G133&lt;-G62,-G62,G133)</f>
        <v>0</v>
      </c>
      <c r="H134" s="637">
        <f>IF(H133&lt;-H62,-H62,H133)</f>
        <v>0</v>
      </c>
      <c r="I134" s="638">
        <f>IF(I133&lt;-I62,-I62,I133)</f>
        <v>0</v>
      </c>
    </row>
    <row r="135" spans="1:11" ht="19.5" hidden="1" customHeight="1">
      <c r="A135" s="1387"/>
      <c r="B135" s="1249"/>
      <c r="C135" s="637"/>
      <c r="D135" s="637"/>
      <c r="E135" s="637">
        <f>-E134*1</f>
        <v>0</v>
      </c>
      <c r="F135" s="637">
        <f>-F134*1</f>
        <v>0</v>
      </c>
      <c r="G135" s="637">
        <f>-G134*1</f>
        <v>0</v>
      </c>
      <c r="H135" s="637">
        <f>-H134*1</f>
        <v>0</v>
      </c>
      <c r="I135" s="638">
        <f>-I134*1</f>
        <v>0</v>
      </c>
    </row>
    <row r="136" spans="1:11" ht="18" hidden="1" customHeight="1">
      <c r="A136" s="1388">
        <f>IF(C136&gt;0,"übertragbares Kindergeld",0)</f>
        <v>0</v>
      </c>
      <c r="B136" s="1389"/>
      <c r="C136" s="1390">
        <f>SUM(E135:I135)</f>
        <v>0</v>
      </c>
      <c r="D136" s="1391"/>
      <c r="E136" s="1391"/>
      <c r="F136" s="1391"/>
      <c r="G136" s="1391"/>
      <c r="H136" s="1391"/>
      <c r="I136" s="1392"/>
    </row>
    <row r="137" spans="1:11" ht="19.5" hidden="1" customHeight="1">
      <c r="A137" s="1388"/>
      <c r="B137" s="1380"/>
      <c r="C137" s="1390">
        <f>IF(AND(C121=0,C136&gt;0),30+Zusatzeingaben!C204+Zusatzeingaben!C205+Zusatzeingaben!C213,0)</f>
        <v>0</v>
      </c>
      <c r="D137" s="1390">
        <f>IF(AND(D121=0,D136&gt;0),30+Zusatzeingaben!D204+Zusatzeingaben!D205+Zusatzeingaben!D213,0)</f>
        <v>0</v>
      </c>
      <c r="E137" s="1390">
        <f>IF(AND(E121=0,E136&gt;0),30+Zusatzeingaben!E204+Zusatzeingaben!E205+Zusatzeingaben!E213,0)</f>
        <v>0</v>
      </c>
      <c r="F137" s="1390">
        <f>IF(AND(F121=0,F136&gt;0),30+Zusatzeingaben!F204+Zusatzeingaben!F205+Zusatzeingaben!F213,0)</f>
        <v>0</v>
      </c>
      <c r="G137" s="1390">
        <f>IF(AND(G121=0,G136&gt;0),30+Zusatzeingaben!G204+Zusatzeingaben!G205+Zusatzeingaben!G213,0)</f>
        <v>0</v>
      </c>
      <c r="H137" s="1390">
        <f>IF(AND(H121=0,H136&gt;0),30+Zusatzeingaben!H204+Zusatzeingaben!H205+Zusatzeingaben!H213,0)</f>
        <v>0</v>
      </c>
      <c r="I137" s="1393">
        <f>IF(AND(I121=0,I136&gt;0),30+Zusatzeingaben!I204+Zusatzeingaben!I205+Zusatzeingaben!I213,0)</f>
        <v>0</v>
      </c>
    </row>
    <row r="138" spans="1:11" ht="19.5" hidden="1" customHeight="1">
      <c r="A138" s="1388"/>
      <c r="B138" s="1380"/>
      <c r="C138" s="1390">
        <f>C136-C137</f>
        <v>0</v>
      </c>
      <c r="D138" s="1391"/>
      <c r="E138" s="1391"/>
      <c r="F138" s="1391"/>
      <c r="G138" s="1391"/>
      <c r="H138" s="1391"/>
      <c r="I138" s="1392"/>
    </row>
    <row r="139" spans="1:11" ht="19.5" hidden="1" customHeight="1">
      <c r="A139" s="1388"/>
      <c r="B139" s="1380"/>
      <c r="C139" s="1390">
        <f>IF(C138&lt;0,0,C138)</f>
        <v>0</v>
      </c>
      <c r="D139" s="1391"/>
      <c r="E139" s="1391"/>
      <c r="F139" s="1391"/>
      <c r="G139" s="1391"/>
      <c r="H139" s="1391"/>
      <c r="I139" s="1392"/>
    </row>
    <row r="140" spans="1:11" ht="17.25" hidden="1" customHeight="1">
      <c r="A140" s="1382" t="s">
        <v>175</v>
      </c>
      <c r="B140" s="1394">
        <f>C140+D140</f>
        <v>0</v>
      </c>
      <c r="C140" s="522">
        <f>C121+C139</f>
        <v>0</v>
      </c>
      <c r="D140" s="522">
        <f>D121</f>
        <v>0</v>
      </c>
      <c r="E140" s="1395"/>
      <c r="F140" s="1395"/>
      <c r="G140" s="1395"/>
      <c r="H140" s="1395"/>
      <c r="I140" s="1396"/>
    </row>
    <row r="141" spans="1:11" hidden="1">
      <c r="A141" s="1037"/>
      <c r="B141" s="981"/>
      <c r="C141" s="637">
        <f>C126-C140</f>
        <v>449</v>
      </c>
      <c r="D141" s="637">
        <f>D126-D140</f>
        <v>0</v>
      </c>
      <c r="E141" s="981"/>
      <c r="F141" s="981"/>
      <c r="G141" s="981"/>
      <c r="H141" s="981"/>
      <c r="I141" s="1397"/>
    </row>
    <row r="142" spans="1:11" hidden="1">
      <c r="A142" s="1037"/>
      <c r="B142" s="981"/>
      <c r="C142" s="637">
        <f>-1*C141</f>
        <v>-449</v>
      </c>
      <c r="D142" s="637">
        <f>-1*D141</f>
        <v>0</v>
      </c>
      <c r="E142" s="981"/>
      <c r="F142" s="981"/>
      <c r="G142" s="981"/>
      <c r="H142" s="981"/>
      <c r="I142" s="1397"/>
    </row>
    <row r="143" spans="1:11" hidden="1">
      <c r="A143" s="1037"/>
      <c r="B143" s="981"/>
      <c r="C143" s="637">
        <f>IF(C142&gt;0,C142,0)</f>
        <v>0</v>
      </c>
      <c r="D143" s="637">
        <f>IF(D142&gt;0,D142,0)</f>
        <v>0</v>
      </c>
      <c r="E143" s="637"/>
      <c r="F143" s="637"/>
      <c r="G143" s="637"/>
      <c r="H143" s="637"/>
      <c r="I143" s="638"/>
    </row>
    <row r="144" spans="1:11" hidden="1">
      <c r="A144" s="1382">
        <f>IF(B144&gt;0,"./. nicht verteilbares Einkommen",0)</f>
        <v>0</v>
      </c>
      <c r="B144" s="1335">
        <f>C144+D144</f>
        <v>0</v>
      </c>
      <c r="C144" s="522">
        <f>IF(AND($B$7&gt;2,D132&gt;0,C132=0,SUM(D130:$I$130)&lt;D140),C140,IF(OR(C10="nur Mehrbedarf",C10="nein"),C140-C145,0))</f>
        <v>0</v>
      </c>
      <c r="D144" s="522">
        <f>IF(AND($B$7&gt;2,C132&gt;0,D132=0,C130+SUM($E$130:$I$130)&lt;C140),D140,IF(OR(D10="nur Mehrbedarf",D10="nein"),D140-D145,0))</f>
        <v>0</v>
      </c>
      <c r="E144" s="522"/>
      <c r="F144" s="522"/>
      <c r="G144" s="522"/>
      <c r="H144" s="522"/>
      <c r="I144" s="523"/>
    </row>
    <row r="145" spans="1:64" ht="17.25" hidden="1" customHeight="1">
      <c r="A145" s="1342" t="s">
        <v>2229</v>
      </c>
      <c r="B145" s="1383">
        <f>C145+D145</f>
        <v>0</v>
      </c>
      <c r="C145" s="522">
        <f>IF(AND($B$7&gt;2,D132&gt;0,C132=0,SUM(D130:$I$130)&lt;D140),0,IF(AND(C10="nur Mehrbedarf",C140&lt;C130+C149),0,IF(AND(C10="nur Mehrbedarf",C143&gt;C149),C143-C149,IF(AND(C10="nein",C143&gt;0),C143,IF(AND(C10="nur Mehrbedarf",C143=0),0,IF(AND(C10="nein",C143=0),0,C140))))))</f>
        <v>0</v>
      </c>
      <c r="D145" s="522">
        <f>IF(AND($B$7&gt;2,C132&gt;0,D132=0,C130+SUM($E$130:$I$130)&lt;C140),0,IF(AND(D10="nur Mehrbedarf",D140&lt;D130+D149),0,IF(AND(D10="nur Mehrbedarf",D143&gt;D149),D143-D149,IF(AND(D10="nein",D143&gt;0),D143,IF(AND(D10="nur Mehrbedarf",D143=0),0,IF(AND(D10="nein",D143=0),0,D140))))))</f>
        <v>0</v>
      </c>
      <c r="E145" s="889"/>
      <c r="F145" s="889"/>
      <c r="G145" s="889"/>
      <c r="H145" s="889"/>
      <c r="I145" s="1398"/>
    </row>
    <row r="146" spans="1:64" ht="17.25" hidden="1" customHeight="1">
      <c r="A146" s="1399"/>
      <c r="B146" s="1361">
        <f>SUM(C146:I146)</f>
        <v>0</v>
      </c>
      <c r="C146" s="522">
        <f>IF(AND($B$132=0,D130=0),C145,IF(AND($B$132=0,D145&gt;0,C130&gt;0),D145,IF(AND($B$7&gt;2,C132=0,D132=0,D145+C144&lt;C130),D145,IF(AND($B$7&gt;2,C132=0,D132=0,D145+C144&gt;C130),C130+D130-B144,IF(AND($B$7=2,C132&gt;0,D10="nur Mehrbedarf",D149+D130&gt;D140,C140&gt;C130),C130,$B$145*C132)))))</f>
        <v>0</v>
      </c>
      <c r="D146" s="522">
        <f>IF(AND($B$132=0,C130=0),D145,IF(AND($B$132=0,C145&gt;0,D130&gt;0),C145,IF(AND($B$7&gt;2,D130&gt;0,D132=0,C132=0,C145+D144&lt;D130),C145,IF(AND(B7&gt;2,D130&gt;0,C132=0,D132=0,C145+D144&gt;D130),C130+D130-B144,IF(AND($B$7=2,C10="nur Mehrbedarf",D132&gt;0,C149+C130&gt;C140,D140&gt;D130),D130,$B$145*D132)))))</f>
        <v>0</v>
      </c>
      <c r="E146" s="522">
        <f>IF(AND($C$149&gt;0,$C$145=0,$B$145*E132&gt;E130,$D$145&lt;$D$130+SUM($E$130:$I$130)),E130,IF(AND($D$149&gt;0,$D$145=0,$B$145*E132&gt;E130,$C$145&lt;$C$130+SUM($E$130:$I$130)),E130,IF(AND($B$7&gt;2,$C$132=0,$D$132=0,$C$130+$D$130&gt;$B$140),0,IF(AND($B$7&gt;2,E130&gt;0,$C$132=0,$D$132=0,$C$130+$D$130&lt;$B$140),($B$140-($C$130+$D$130))*E132,$B$145*E132))))</f>
        <v>0</v>
      </c>
      <c r="F146" s="522">
        <f>IF(AND($C$149&gt;0,$C$145=0,$B$145*F132&gt;F130,$D$145&lt;$D$130+SUM($E$130:$I$130)),F130,IF(AND($D$149&gt;0,$D$145=0,$B$145*F132&gt;F130,$C$145&lt;$C$130+SUM($E$130:$I$130)),F130,IF(AND($B$7&gt;2,$C$132=0,$D$132=0,$C$130+$D$130&gt;$B$140),0,IF(AND($B$7&gt;2,F130&gt;0,$C$132=0,$D$132=0,$C$130+$D$130&lt;$B$140),($B$140-($C$130+$D$130))*F132,$B$145*F132))))</f>
        <v>0</v>
      </c>
      <c r="G146" s="522">
        <f>IF(AND($C$149&gt;0,$C$145=0,$B$145*G132&gt;G130,$D$145&lt;$D$130+SUM($E$130:$I$130)),G130,IF(AND($D$149&gt;0,$D$145=0,$B$145*G132&gt;G130,$C$145&lt;$C$130+SUM($E$130:$I$130)),G130,IF(AND($B$7&gt;2,$C$132=0,$D$132=0,$C$130+$D$130&gt;$B$140),0,IF(AND($B$7&gt;2,G130&gt;0,$C$132=0,$D$132=0,$C$130+$D$130&lt;$B$140),($B$140-($C$130+$D$130))*G132,$B$145*G132))))</f>
        <v>0</v>
      </c>
      <c r="H146" s="522">
        <f>IF(AND($C$149&gt;0,$C$145=0,$B$145*H132&gt;H130,$D$145&lt;$D$130+SUM($E$130:$I$130)),H130,IF(AND($D$149&gt;0,$D$145=0,$B$145*H132&gt;H130,$C$145&lt;$C$130+SUM($E$130:$I$130)),H130,IF(AND($B$7&gt;2,$C$132=0,$D$132=0,$C$130+$D$130&gt;$B$140),0,IF(AND($B$7&gt;2,H130&gt;0,$C$132=0,$D$132=0,$C$130+$D$130&lt;$B$140),($B$140-($C$130+$D$130))*H132,$B$145*H132))))</f>
        <v>0</v>
      </c>
      <c r="I146" s="523">
        <f>IF(AND($C$149&gt;0,$C$145=0,$B$145*I132&gt;I130,$D$145&lt;$D$130+SUM($E$130:$I$130)),I130,IF(AND($D$149&gt;0,$D$145=0,$B$145*I132&gt;I130,$C$145&lt;$C$130+SUM($E$130:$I$130)),I130,IF(AND($B$7&gt;2,$C$132=0,$D$132=0,$C$130+$D$130&gt;$B$140),0,IF(AND($B$7&gt;2,I130&gt;0,$C$132=0,$D$132=0,$C$130+$D$130&lt;$B$140),($B$140-($C$130+$D$130))*I132,$B$145*I132))))</f>
        <v>0</v>
      </c>
    </row>
    <row r="147" spans="1:64" ht="18.75" hidden="1" customHeight="1">
      <c r="A147" s="1376" t="s">
        <v>2230</v>
      </c>
      <c r="B147" s="1357">
        <f>SUM(C147:I147)</f>
        <v>0</v>
      </c>
      <c r="C147" s="1400">
        <f>IF(C146&lt;0,0,IF(AND(C149&gt;0,D145&gt;0,D145&lt;&gt;C146,C145&gt;0,C144&lt;C130+C149),C145+C146,IF(AND(D132&gt;0,C132=0,D145&gt;D146+E146+F146+G146+H146+I146),D145-D146-E146-F146-G146-H146-I146,IF(AND($B$7=2,$B$132=0,C145&gt;0,D145&gt;0),C145,IF(AND($B$7&gt;2,C132+D132=0,C145&gt;0,D145&gt;0),($B$145-E146-F146-G146-H146-I146)*C130/(C130+D130),C146)))))</f>
        <v>0</v>
      </c>
      <c r="D147" s="1400">
        <f>IF(D146&lt;0,0,IF(AND(D149&gt;0,C145&gt;0,C145&lt;&gt;D146,D145&gt;0,D144&lt;D130+D149),D145+D146,IF(AND(C132&gt;0,D132=0,C145&gt;C146+E146+F146+G146+H146+I146),C145-C146-E146-F146-G146-H146-I146,IF(AND($B$7=2,$B$132=0,C145&gt;0,D145&gt;0),D145,IF(AND($B$7&gt;2,C132+D132=0,C145&gt;0,D145&gt;0),($B$145-E146-F146-G146-H146-I146)*D130/(C130+D130),D146)))))</f>
        <v>0</v>
      </c>
      <c r="E147" s="1401">
        <f>IF(AND($C$146=0,$D$146=0,$B$146&lt;$B$145),$B$145*E132,E146)</f>
        <v>0</v>
      </c>
      <c r="F147" s="1401">
        <f>IF(AND($C$146=0,$D$146=0,$B$146&lt;$B$145),$B$145*F132,F146)</f>
        <v>0</v>
      </c>
      <c r="G147" s="1401">
        <f>IF(AND($C$146=0,$D$146=0,$B$146&lt;$B$145),$B$145*G132,G146)</f>
        <v>0</v>
      </c>
      <c r="H147" s="1401">
        <f>IF(AND($C$146=0,$D$146=0,$B$146&lt;$B$145),$B$145*H132,H146)</f>
        <v>0</v>
      </c>
      <c r="I147" s="1402">
        <f>IF(AND($C$146=0,$D$146=0,$B$146&lt;$B$145),$B$145*I132,I146)</f>
        <v>0</v>
      </c>
    </row>
    <row r="148" spans="1:64" ht="19.5" hidden="1" customHeight="1">
      <c r="A148" s="1403" t="s">
        <v>2172</v>
      </c>
      <c r="B148" s="1365">
        <f>SUM(C148:I148)</f>
        <v>449</v>
      </c>
      <c r="C148" s="1365">
        <f>C130-C144-C147</f>
        <v>449</v>
      </c>
      <c r="D148" s="1365">
        <f>D130-D144-D147</f>
        <v>0</v>
      </c>
      <c r="E148" s="1365">
        <f>E130-E147</f>
        <v>0</v>
      </c>
      <c r="F148" s="1365">
        <f>F130-F147</f>
        <v>0</v>
      </c>
      <c r="G148" s="1365">
        <f>G130-G147</f>
        <v>0</v>
      </c>
      <c r="H148" s="1365">
        <f>H130-H147</f>
        <v>0</v>
      </c>
      <c r="I148" s="1404">
        <f>I130-I147</f>
        <v>0</v>
      </c>
    </row>
    <row r="149" spans="1:64" ht="18" hidden="1" customHeight="1">
      <c r="A149" s="1405">
        <f>IF(B149&gt;0,"Mehrbedarf nach § 27 (2) SGB II",0)</f>
        <v>0</v>
      </c>
      <c r="B149" s="1406">
        <f>SUM(C149:I149)</f>
        <v>0</v>
      </c>
      <c r="C149" s="1016">
        <f>IF(C10="nur Mehrbedarf",Zusatzeingaben!C45+Zusatzeingaben!B46+Zusatzeingaben!C93+Zusatzeingaben!C94,0)</f>
        <v>0</v>
      </c>
      <c r="D149" s="1016">
        <f>IF(D10="nur Mehrbedarf",Zusatzeingaben!D45+Zusatzeingaben!D93+Zusatzeingaben!D94,0)</f>
        <v>0</v>
      </c>
      <c r="E149" s="522"/>
      <c r="F149" s="522"/>
      <c r="G149" s="522"/>
      <c r="H149" s="522"/>
      <c r="I149" s="523"/>
    </row>
    <row r="150" spans="1:64" ht="17.25" hidden="1" customHeight="1">
      <c r="A150" s="1407">
        <f>IF(B150&gt;0,"./. Überschuss",0)</f>
        <v>0</v>
      </c>
      <c r="B150" s="1383">
        <f>SUM(C150:I150)</f>
        <v>0</v>
      </c>
      <c r="C150" s="522">
        <f>IF(AND(C10="nur Mehrbedarf",$B$148&lt;0,D148&lt;0),$B$148*-1,IF(AND(C10="nur Mehrbedarf",$B$148&lt;0,$E$148&lt;0),$B$148*-1,IF(AND(C10="nur Mehrbedarf",D148&gt;=0,C148&lt;0),C148*-1,0)))</f>
        <v>0</v>
      </c>
      <c r="D150" s="522">
        <f>IF(AND(D10="nur Mehrbedarf",$B$148&lt;0,C148&lt;0),$B$148*-1,IF(AND(D10="nur Mehrbedarf",$B$148&lt;0,$E$148&lt;0),$B$148*-1,IF(AND(D10="nur Mehrbedarf",C148&gt;=0,D148&lt;0),D148*-1,0)))</f>
        <v>0</v>
      </c>
      <c r="E150" s="522"/>
      <c r="F150" s="522"/>
      <c r="G150" s="522"/>
      <c r="H150" s="522"/>
      <c r="I150" s="523"/>
    </row>
    <row r="151" spans="1:64" ht="17.25" hidden="1" customHeight="1">
      <c r="A151" s="1408"/>
      <c r="B151" s="1409"/>
      <c r="C151" s="1410">
        <f t="shared" ref="C151:I151" si="17">C148-C156</f>
        <v>449</v>
      </c>
      <c r="D151" s="1410">
        <f t="shared" si="17"/>
        <v>0</v>
      </c>
      <c r="E151" s="1410">
        <f t="shared" si="17"/>
        <v>0</v>
      </c>
      <c r="F151" s="1410">
        <f t="shared" si="17"/>
        <v>0</v>
      </c>
      <c r="G151" s="1410">
        <f t="shared" si="17"/>
        <v>0</v>
      </c>
      <c r="H151" s="1410">
        <f t="shared" si="17"/>
        <v>0</v>
      </c>
      <c r="I151" s="1411">
        <f t="shared" si="17"/>
        <v>0</v>
      </c>
    </row>
    <row r="152" spans="1:64" ht="17.25" hidden="1" customHeight="1">
      <c r="A152" s="839"/>
      <c r="B152" s="522"/>
      <c r="C152" s="1410">
        <f>IF(Zusatzeingaben!C221="einmal",C11*0.1,IF(Zusatzeingaben!C221="zweimal",C11*0.2,IF(Zusatzeingaben!C221="dreimal",C11*0.3,0)))</f>
        <v>0</v>
      </c>
      <c r="D152" s="1410">
        <f>IF(Zusatzeingaben!D221="einmal",D11*0.1,IF(Zusatzeingaben!D221="zweimal",D11*0.2,IF(Zusatzeingaben!D221="dreimal",D11*0.3,0)))</f>
        <v>0</v>
      </c>
      <c r="E152" s="1410">
        <f>IF(Zusatzeingaben!E221="einmal",E11*0.1,IF(Zusatzeingaben!E221="zweimal",E11*0.2,IF(Zusatzeingaben!E221="dreimal",E11*0.3,0)))</f>
        <v>0</v>
      </c>
      <c r="F152" s="1410">
        <f>IF(Zusatzeingaben!F221="einmal",F11*0.1,IF(Zusatzeingaben!F221="zweimal",F11*0.2,IF(Zusatzeingaben!F221="dreimal",F11*0.3,0)))</f>
        <v>0</v>
      </c>
      <c r="G152" s="1410">
        <f>IF(Zusatzeingaben!G221="einmal",G11*0.1,IF(Zusatzeingaben!G221="zweimal",G11*0.2,IF(Zusatzeingaben!G221="dreimal",G11*0.3,0)))</f>
        <v>0</v>
      </c>
      <c r="H152" s="1410">
        <f>IF(Zusatzeingaben!H221="einmal",H11*0.1,IF(Zusatzeingaben!H221="zweimal",H11*0.2,IF(Zusatzeingaben!H221="dreimal",H11*0.3,0)))</f>
        <v>0</v>
      </c>
      <c r="I152" s="1411">
        <f>IF(Zusatzeingaben!I221="einmal",I11*0.1,IF(Zusatzeingaben!I221="zweimal",I11*0.2,IF(Zusatzeingaben!I221="dreimal",I11*0.3,0)))</f>
        <v>0</v>
      </c>
    </row>
    <row r="153" spans="1:64" ht="17.25" hidden="1" customHeight="1">
      <c r="A153" s="1408"/>
      <c r="B153" s="522"/>
      <c r="C153" s="522">
        <f t="shared" ref="C153:I153" si="18">IF(C151&gt;C148,C148,C151)</f>
        <v>449</v>
      </c>
      <c r="D153" s="522">
        <f t="shared" si="18"/>
        <v>0</v>
      </c>
      <c r="E153" s="522">
        <f t="shared" si="18"/>
        <v>0</v>
      </c>
      <c r="F153" s="522">
        <f t="shared" si="18"/>
        <v>0</v>
      </c>
      <c r="G153" s="522">
        <f t="shared" si="18"/>
        <v>0</v>
      </c>
      <c r="H153" s="522">
        <f t="shared" si="18"/>
        <v>0</v>
      </c>
      <c r="I153" s="523">
        <f t="shared" si="18"/>
        <v>0</v>
      </c>
    </row>
    <row r="154" spans="1:64" ht="17.25" hidden="1" customHeight="1">
      <c r="A154" s="1407">
        <f>IF(B154&gt;0,"./. Minderung Meldeversäumnis",0)</f>
        <v>0</v>
      </c>
      <c r="B154" s="1335">
        <f>SUM(C154:I154)</f>
        <v>0</v>
      </c>
      <c r="C154" s="522">
        <f t="shared" ref="C154:I154" si="19">IF(OR(C148&lt;0,C152=0),0,MIN(C153,C152))</f>
        <v>0</v>
      </c>
      <c r="D154" s="522">
        <f t="shared" si="19"/>
        <v>0</v>
      </c>
      <c r="E154" s="522">
        <f t="shared" si="19"/>
        <v>0</v>
      </c>
      <c r="F154" s="522">
        <f t="shared" si="19"/>
        <v>0</v>
      </c>
      <c r="G154" s="522">
        <f t="shared" si="19"/>
        <v>0</v>
      </c>
      <c r="H154" s="522">
        <f t="shared" si="19"/>
        <v>0</v>
      </c>
      <c r="I154" s="523">
        <f t="shared" si="19"/>
        <v>0</v>
      </c>
    </row>
    <row r="155" spans="1:64" ht="17.25" hidden="1" customHeight="1">
      <c r="A155" s="1341"/>
      <c r="B155" s="1412"/>
      <c r="C155" s="634">
        <f>Zusatzeingaben!C225</f>
        <v>0</v>
      </c>
      <c r="D155" s="634">
        <f>Zusatzeingaben!D225</f>
        <v>0</v>
      </c>
      <c r="E155" s="634">
        <f>Zusatzeingaben!E225</f>
        <v>0</v>
      </c>
      <c r="F155" s="634">
        <f>Zusatzeingaben!F225</f>
        <v>0</v>
      </c>
      <c r="G155" s="634">
        <f>Zusatzeingaben!G225</f>
        <v>0</v>
      </c>
      <c r="H155" s="634">
        <f>Zusatzeingaben!H225</f>
        <v>0</v>
      </c>
      <c r="I155" s="635">
        <f>Zusatzeingaben!I225</f>
        <v>0</v>
      </c>
    </row>
    <row r="156" spans="1:64" ht="17.25" hidden="1" customHeight="1">
      <c r="A156" s="976"/>
      <c r="B156" s="1413"/>
      <c r="C156" s="1410">
        <f t="shared" ref="C156:I156" si="20">IF(C155&gt;C148,C148,C155)</f>
        <v>0</v>
      </c>
      <c r="D156" s="1410">
        <f t="shared" si="20"/>
        <v>0</v>
      </c>
      <c r="E156" s="1410">
        <f t="shared" si="20"/>
        <v>0</v>
      </c>
      <c r="F156" s="1410">
        <f t="shared" si="20"/>
        <v>0</v>
      </c>
      <c r="G156" s="1410">
        <f t="shared" si="20"/>
        <v>0</v>
      </c>
      <c r="H156" s="1410">
        <f t="shared" si="20"/>
        <v>0</v>
      </c>
      <c r="I156" s="1411">
        <f t="shared" si="20"/>
        <v>0</v>
      </c>
    </row>
    <row r="157" spans="1:64" ht="18" hidden="1" customHeight="1">
      <c r="A157" s="1414">
        <f>IF(B157&gt;0,"./. Minderung Pflichtverletzung",0)</f>
        <v>0</v>
      </c>
      <c r="B157" s="1415">
        <f>SUM(C157:I157)</f>
        <v>0</v>
      </c>
      <c r="C157" s="1416">
        <f t="shared" ref="C157:I157" si="21">IF(C156&lt;0,0,C156)</f>
        <v>0</v>
      </c>
      <c r="D157" s="1024">
        <f t="shared" si="21"/>
        <v>0</v>
      </c>
      <c r="E157" s="1024">
        <f t="shared" si="21"/>
        <v>0</v>
      </c>
      <c r="F157" s="1024">
        <f t="shared" si="21"/>
        <v>0</v>
      </c>
      <c r="G157" s="1024">
        <f t="shared" si="21"/>
        <v>0</v>
      </c>
      <c r="H157" s="1024">
        <f t="shared" si="21"/>
        <v>0</v>
      </c>
      <c r="I157" s="1025">
        <f t="shared" si="21"/>
        <v>0</v>
      </c>
    </row>
    <row r="158" spans="1:64" ht="16.5" hidden="1" customHeight="1">
      <c r="A158" s="1417"/>
      <c r="B158" s="1418"/>
      <c r="C158" s="1419">
        <f>IF(C10="nur Mehrbedarf",C149-C150,0)</f>
        <v>0</v>
      </c>
      <c r="D158" s="1419">
        <f>IF(D10="nur Mehrbedarf",D149-D150,0)</f>
        <v>0</v>
      </c>
      <c r="E158" s="1419"/>
      <c r="F158" s="1419"/>
      <c r="G158" s="1419"/>
      <c r="H158" s="1419"/>
      <c r="I158" s="1420"/>
      <c r="J158" s="1080"/>
      <c r="K158" s="1207"/>
      <c r="L158" s="1207"/>
      <c r="M158" s="1080"/>
      <c r="N158" s="1080"/>
      <c r="O158" s="1080"/>
      <c r="P158" s="1080"/>
      <c r="Q158" s="1080"/>
      <c r="R158" s="1080"/>
      <c r="S158" s="1080"/>
      <c r="T158" s="1080"/>
      <c r="U158" s="1080"/>
      <c r="V158" s="1080"/>
      <c r="W158" s="1080"/>
      <c r="X158" s="1080"/>
      <c r="Y158" s="1080"/>
      <c r="Z158" s="1080"/>
      <c r="AA158" s="1080"/>
      <c r="AB158" s="1080"/>
      <c r="AC158" s="1080"/>
      <c r="AD158" s="1080"/>
      <c r="AE158" s="1080"/>
      <c r="AF158" s="1080"/>
      <c r="AG158" s="1080"/>
      <c r="AH158" s="1080"/>
      <c r="AI158" s="1080"/>
      <c r="AJ158" s="1080"/>
      <c r="AK158" s="1080"/>
      <c r="AL158" s="1080"/>
      <c r="AM158" s="1080"/>
      <c r="AN158" s="1080"/>
      <c r="AO158" s="1080"/>
      <c r="AP158" s="1080"/>
      <c r="AQ158" s="1080"/>
      <c r="AR158" s="1080"/>
      <c r="AS158" s="1080"/>
      <c r="AT158" s="1080"/>
      <c r="AU158" s="1080"/>
      <c r="AV158" s="1080"/>
      <c r="AW158" s="1080"/>
      <c r="AX158" s="1080"/>
      <c r="AY158" s="1080"/>
      <c r="AZ158" s="1080"/>
      <c r="BA158" s="1080"/>
      <c r="BB158" s="1080"/>
      <c r="BC158" s="1080"/>
      <c r="BD158" s="1080"/>
      <c r="BE158" s="1080"/>
      <c r="BF158" s="1080"/>
      <c r="BG158" s="1080"/>
      <c r="BH158" s="1080"/>
      <c r="BI158" s="1080"/>
      <c r="BJ158" s="1080"/>
      <c r="BK158" s="1080"/>
      <c r="BL158" s="1080"/>
    </row>
    <row r="159" spans="1:64" ht="17.25" hidden="1" customHeight="1">
      <c r="A159" s="1421"/>
      <c r="B159" s="1413">
        <f>SUM(C159:I159)</f>
        <v>449</v>
      </c>
      <c r="C159" s="1413">
        <f t="shared" ref="C159:I159" si="22">IF(C10="nur Mehrbedarf",C158,C148-C154-C157)</f>
        <v>449</v>
      </c>
      <c r="D159" s="1413">
        <f t="shared" si="22"/>
        <v>0</v>
      </c>
      <c r="E159" s="1413">
        <f t="shared" si="22"/>
        <v>0</v>
      </c>
      <c r="F159" s="1413">
        <f t="shared" si="22"/>
        <v>0</v>
      </c>
      <c r="G159" s="1413">
        <f t="shared" si="22"/>
        <v>0</v>
      </c>
      <c r="H159" s="1413">
        <f t="shared" si="22"/>
        <v>0</v>
      </c>
      <c r="I159" s="1422">
        <f t="shared" si="22"/>
        <v>0</v>
      </c>
    </row>
    <row r="160" spans="1:64" ht="24" hidden="1" customHeight="1">
      <c r="A160" s="1423" t="s">
        <v>2231</v>
      </c>
      <c r="B160" s="1424">
        <f>SUM(C160:I160)</f>
        <v>449</v>
      </c>
      <c r="C160" s="1424">
        <f t="shared" ref="C160:I160" si="23">IF(C10="nein",0,IF(C159&lt;0,0,C159))</f>
        <v>449</v>
      </c>
      <c r="D160" s="1424">
        <f t="shared" si="23"/>
        <v>0</v>
      </c>
      <c r="E160" s="1424">
        <f t="shared" si="23"/>
        <v>0</v>
      </c>
      <c r="F160" s="1424">
        <f t="shared" si="23"/>
        <v>0</v>
      </c>
      <c r="G160" s="1424">
        <f t="shared" si="23"/>
        <v>0</v>
      </c>
      <c r="H160" s="1424">
        <f t="shared" si="23"/>
        <v>0</v>
      </c>
      <c r="I160" s="1425">
        <f t="shared" si="23"/>
        <v>0</v>
      </c>
    </row>
    <row r="161" spans="1:64" ht="60" hidden="1" customHeight="1">
      <c r="A161" s="1267" t="s">
        <v>2194</v>
      </c>
    </row>
    <row r="162" spans="1:64" ht="21.75" customHeight="1">
      <c r="A162" s="1977" t="s">
        <v>2232</v>
      </c>
      <c r="B162" s="1977"/>
      <c r="C162" s="1977"/>
      <c r="D162" s="1977"/>
      <c r="E162" s="1977"/>
      <c r="F162" s="1977"/>
      <c r="G162" s="1977"/>
      <c r="H162" s="1977"/>
      <c r="I162" s="1977"/>
      <c r="J162" s="1080"/>
      <c r="K162" s="1080"/>
      <c r="L162" s="1080"/>
      <c r="M162" s="1080"/>
      <c r="N162" s="1080"/>
      <c r="O162" s="1080"/>
      <c r="P162" s="1080"/>
      <c r="Q162" s="1080"/>
      <c r="R162" s="1080"/>
      <c r="S162" s="1080"/>
      <c r="T162" s="1080"/>
      <c r="U162" s="1080"/>
      <c r="V162" s="1080"/>
      <c r="W162" s="1080"/>
      <c r="X162" s="1080"/>
      <c r="Y162" s="1080"/>
      <c r="Z162" s="1080"/>
      <c r="AA162" s="1080"/>
      <c r="AB162" s="1080"/>
      <c r="AC162" s="1080"/>
      <c r="AD162" s="1080"/>
      <c r="AE162" s="1080"/>
      <c r="AF162" s="1080"/>
      <c r="AG162" s="1080"/>
      <c r="AH162" s="1080"/>
      <c r="AI162" s="1080"/>
      <c r="AJ162" s="1080"/>
      <c r="AK162" s="1080"/>
      <c r="AL162" s="1080"/>
      <c r="AM162" s="1080"/>
      <c r="AN162" s="1080"/>
      <c r="AO162" s="1080"/>
      <c r="AP162" s="1080"/>
      <c r="AQ162" s="1080"/>
      <c r="AR162" s="1080"/>
      <c r="AS162" s="1080"/>
      <c r="AT162" s="1080"/>
      <c r="AU162" s="1080"/>
      <c r="AV162" s="1080"/>
      <c r="AW162" s="1080"/>
      <c r="AX162" s="1080"/>
      <c r="AY162" s="1080"/>
      <c r="AZ162" s="1080"/>
      <c r="BA162" s="1080"/>
      <c r="BB162" s="1080"/>
      <c r="BC162" s="1080"/>
      <c r="BD162" s="1080"/>
      <c r="BE162" s="1080"/>
      <c r="BF162" s="1080"/>
      <c r="BG162" s="1080"/>
      <c r="BH162" s="1080"/>
      <c r="BI162" s="1080"/>
      <c r="BJ162" s="1080"/>
      <c r="BK162" s="1080"/>
      <c r="BL162" s="1080"/>
    </row>
    <row r="163" spans="1:64" ht="21.75" customHeight="1">
      <c r="A163" s="806" t="s">
        <v>2233</v>
      </c>
      <c r="B163" s="1983"/>
      <c r="C163" s="1983"/>
      <c r="D163" s="807" t="s">
        <v>139</v>
      </c>
      <c r="E163" s="1426">
        <f>Berechnung!E3</f>
        <v>44774</v>
      </c>
      <c r="F163" s="809" t="s">
        <v>2158</v>
      </c>
      <c r="G163" s="1427">
        <f>Berechnung!G3</f>
        <v>44804</v>
      </c>
      <c r="H163" s="811"/>
      <c r="I163" s="812"/>
      <c r="J163" s="1428"/>
      <c r="K163" s="1428"/>
      <c r="L163" s="1428"/>
      <c r="M163" s="1428"/>
      <c r="N163" s="1428"/>
      <c r="O163" s="1080"/>
      <c r="P163" s="1080"/>
      <c r="Q163" s="1080"/>
      <c r="R163" s="1080"/>
      <c r="S163" s="1080"/>
      <c r="T163" s="1080"/>
      <c r="U163" s="1080"/>
      <c r="V163" s="1080"/>
      <c r="W163" s="1080"/>
      <c r="X163" s="1080"/>
      <c r="Y163" s="1080"/>
      <c r="Z163" s="1080"/>
      <c r="AA163" s="1080"/>
      <c r="AB163" s="1080"/>
      <c r="AC163" s="1080"/>
      <c r="AD163" s="1080"/>
      <c r="AE163" s="1080"/>
      <c r="AF163" s="1080"/>
      <c r="AG163" s="1080"/>
      <c r="AH163" s="1080"/>
      <c r="AI163" s="1080"/>
      <c r="AJ163" s="1080"/>
      <c r="AK163" s="1080"/>
      <c r="AL163" s="1080"/>
      <c r="AM163" s="1080"/>
      <c r="AN163" s="1080"/>
      <c r="AO163" s="1080"/>
      <c r="AP163" s="1080"/>
      <c r="AQ163" s="1080"/>
      <c r="AR163" s="1080"/>
      <c r="AS163" s="1080"/>
      <c r="AT163" s="1080"/>
      <c r="AU163" s="1080"/>
      <c r="AV163" s="1080"/>
      <c r="AW163" s="1080"/>
      <c r="AX163" s="1080"/>
      <c r="AY163" s="1080"/>
      <c r="AZ163" s="1080"/>
      <c r="BA163" s="1080"/>
      <c r="BB163" s="1080"/>
      <c r="BC163" s="1080"/>
      <c r="BD163" s="1080"/>
      <c r="BE163" s="1080"/>
      <c r="BF163" s="1080"/>
      <c r="BG163" s="1080"/>
      <c r="BH163" s="1080"/>
      <c r="BI163" s="1080"/>
      <c r="BJ163" s="1080"/>
      <c r="BK163" s="1080"/>
      <c r="BL163" s="1080"/>
    </row>
    <row r="164" spans="1:64" ht="21.75" customHeight="1">
      <c r="A164" s="1429"/>
      <c r="B164" s="1430"/>
      <c r="C164" s="1431"/>
      <c r="D164" s="1429"/>
      <c r="E164" s="1432"/>
      <c r="F164" s="1433"/>
      <c r="G164" s="1434"/>
      <c r="H164" s="1264"/>
      <c r="I164" s="1435"/>
      <c r="J164" s="1428"/>
      <c r="K164" s="1428"/>
      <c r="L164" s="1428"/>
      <c r="M164" s="1428"/>
      <c r="N164" s="1428"/>
      <c r="O164" s="1080"/>
      <c r="P164" s="1080"/>
      <c r="Q164" s="1080"/>
      <c r="R164" s="1080"/>
      <c r="S164" s="1080"/>
      <c r="T164" s="1080"/>
      <c r="U164" s="1080"/>
      <c r="V164" s="1080"/>
      <c r="W164" s="1080"/>
      <c r="X164" s="1080"/>
      <c r="Y164" s="1080"/>
      <c r="Z164" s="1080"/>
      <c r="AA164" s="1080"/>
      <c r="AB164" s="1080"/>
      <c r="AC164" s="1080"/>
      <c r="AD164" s="1080"/>
      <c r="AE164" s="1080"/>
      <c r="AF164" s="1080"/>
      <c r="AG164" s="1080"/>
      <c r="AH164" s="1080"/>
      <c r="AI164" s="1080"/>
      <c r="AJ164" s="1080"/>
      <c r="AK164" s="1080"/>
      <c r="AL164" s="1080"/>
      <c r="AM164" s="1080"/>
      <c r="AN164" s="1080"/>
      <c r="AO164" s="1080"/>
      <c r="AP164" s="1080"/>
      <c r="AQ164" s="1080"/>
      <c r="AR164" s="1080"/>
      <c r="AS164" s="1080"/>
      <c r="AT164" s="1080"/>
      <c r="AU164" s="1080"/>
      <c r="AV164" s="1080"/>
      <c r="AW164" s="1080"/>
      <c r="AX164" s="1080"/>
      <c r="AY164" s="1080"/>
      <c r="AZ164" s="1080"/>
      <c r="BA164" s="1080"/>
      <c r="BB164" s="1080"/>
      <c r="BC164" s="1080"/>
      <c r="BD164" s="1080"/>
      <c r="BE164" s="1080"/>
      <c r="BF164" s="1080"/>
      <c r="BG164" s="1080"/>
      <c r="BH164" s="1080"/>
      <c r="BI164" s="1080"/>
      <c r="BJ164" s="1080"/>
      <c r="BK164" s="1080"/>
      <c r="BL164" s="1080"/>
    </row>
    <row r="165" spans="1:64" ht="18.75" customHeight="1">
      <c r="A165" s="1436" t="s">
        <v>2234</v>
      </c>
      <c r="B165" s="972" t="s">
        <v>246</v>
      </c>
      <c r="C165" s="972" t="str">
        <f>Zusatzeingaben!C4</f>
        <v>Antragsteller</v>
      </c>
      <c r="D165" s="972" t="str">
        <f>Zusatzeingaben!D4</f>
        <v>Partner(in)</v>
      </c>
      <c r="E165" s="972" t="str">
        <f>Zusatzeingaben!E4</f>
        <v>Kind 1</v>
      </c>
      <c r="F165" s="972" t="s">
        <v>145</v>
      </c>
      <c r="G165" s="972" t="s">
        <v>146</v>
      </c>
      <c r="H165" s="972" t="s">
        <v>147</v>
      </c>
      <c r="I165" s="973" t="s">
        <v>148</v>
      </c>
    </row>
    <row r="166" spans="1:64" ht="18" customHeight="1">
      <c r="A166" s="839" t="s">
        <v>2235</v>
      </c>
      <c r="B166" s="889"/>
      <c r="C166" s="889"/>
      <c r="D166" s="889"/>
      <c r="E166" s="1437" t="str">
        <f>IF(E62&gt;0,"ja","nein")</f>
        <v>nein</v>
      </c>
      <c r="F166" s="1437" t="str">
        <f>IF(F62&gt;0,"ja","nein")</f>
        <v>nein</v>
      </c>
      <c r="G166" s="1437" t="str">
        <f>IF(G62&gt;0,"ja","nein")</f>
        <v>nein</v>
      </c>
      <c r="H166" s="1437" t="str">
        <f>IF(H62&gt;0,"ja","nein")</f>
        <v>nein</v>
      </c>
      <c r="I166" s="1438" t="str">
        <f>IF(I62&gt;0,"ja","nein")</f>
        <v>nein</v>
      </c>
    </row>
    <row r="167" spans="1:64" ht="18" customHeight="1">
      <c r="A167" s="839" t="s">
        <v>2236</v>
      </c>
      <c r="B167" s="1016">
        <f>IF(Zusatzeingaben!C46="ja",600,900)</f>
        <v>900</v>
      </c>
      <c r="C167" s="878"/>
      <c r="D167" s="878"/>
      <c r="E167" s="869"/>
      <c r="F167" s="869"/>
      <c r="G167" s="869"/>
      <c r="H167" s="869"/>
      <c r="I167" s="1005"/>
    </row>
    <row r="168" spans="1:64" ht="18" customHeight="1">
      <c r="A168" s="1246" t="s">
        <v>2237</v>
      </c>
      <c r="B168" s="1008">
        <f>C168+D168</f>
        <v>0</v>
      </c>
      <c r="C168" s="1008">
        <f>C54+C58+C59+C60+C61+C63+C64+C65+C66+C67</f>
        <v>0</v>
      </c>
      <c r="D168" s="1008">
        <f>D54+D58+D59+D60+D61+D63+D64+D65+D66+D67</f>
        <v>0</v>
      </c>
      <c r="E168" s="869"/>
      <c r="F168" s="869"/>
      <c r="G168" s="869"/>
      <c r="H168" s="869"/>
      <c r="I168" s="1005"/>
    </row>
    <row r="169" spans="1:64" ht="18" customHeight="1">
      <c r="A169" s="1248" t="s">
        <v>2238</v>
      </c>
      <c r="B169" s="1439"/>
      <c r="C169" s="899"/>
      <c r="D169" s="1440"/>
      <c r="E169" s="899">
        <f>IF(AND($B$168&gt;=$B$167,E166="ja"),$C$199,0)</f>
        <v>0</v>
      </c>
      <c r="F169" s="899">
        <f>IF(AND($B$168&gt;=$B$167,F166="ja"),$C$199,0)</f>
        <v>0</v>
      </c>
      <c r="G169" s="899">
        <f>IF(AND($B$168&gt;=$B$167,G166="ja"),$C$199,0)</f>
        <v>0</v>
      </c>
      <c r="H169" s="899">
        <f>IF(AND($B$168&gt;=$B$167,H166="ja"),$C$199,0)</f>
        <v>0</v>
      </c>
      <c r="I169" s="900">
        <f>IF(AND($B$168&gt;=$B$167,I166="ja"),$C$199,0)</f>
        <v>0</v>
      </c>
    </row>
    <row r="170" spans="1:64" ht="18" customHeight="1">
      <c r="A170" s="1225" t="s">
        <v>2239</v>
      </c>
      <c r="B170" s="1441"/>
      <c r="C170" s="996"/>
      <c r="D170" s="1442"/>
      <c r="E170" s="1443">
        <f>IF(E169&lt;185,(E121-E62)*0.45,E121-E62)</f>
        <v>0</v>
      </c>
      <c r="F170" s="1443">
        <f>IF(F169&lt;185,(F121-F62)*0.45,F121-F62)</f>
        <v>0</v>
      </c>
      <c r="G170" s="1443">
        <f>IF(G169&lt;185,(G121-G62)*0.45,G121-G62)</f>
        <v>0</v>
      </c>
      <c r="H170" s="1443">
        <f>IF(H169&lt;185,(H121-H62)*0.45,H121-H62)</f>
        <v>0</v>
      </c>
      <c r="I170" s="1443">
        <f>IF(I169&lt;185,(I121-I62)*0.45,I121-I62)</f>
        <v>0</v>
      </c>
    </row>
    <row r="171" spans="1:64" ht="18" customHeight="1">
      <c r="A171" s="1246" t="s">
        <v>2240</v>
      </c>
      <c r="B171" s="1444"/>
      <c r="C171" s="1445"/>
      <c r="D171" s="1446"/>
      <c r="E171" s="1008">
        <f>IF(E170&lt;0,0,E170)</f>
        <v>0</v>
      </c>
      <c r="F171" s="1008">
        <f>IF(F170&lt;0,0,F170)</f>
        <v>0</v>
      </c>
      <c r="G171" s="1008">
        <f>IF(G170&lt;0,0,G170)</f>
        <v>0</v>
      </c>
      <c r="H171" s="1008">
        <f>IF(H170&lt;0,0,H170)</f>
        <v>0</v>
      </c>
      <c r="I171" s="1009">
        <f>IF(I170&lt;0,0,I170)</f>
        <v>0</v>
      </c>
    </row>
    <row r="172" spans="1:64" ht="18" customHeight="1">
      <c r="A172" s="1246" t="s">
        <v>2241</v>
      </c>
      <c r="B172" s="1016">
        <f>SUM(E172:I172)</f>
        <v>0</v>
      </c>
      <c r="C172" s="869"/>
      <c r="D172" s="869"/>
      <c r="E172" s="522">
        <f>IF(E169-E171&lt;0,0,E169-E171)</f>
        <v>0</v>
      </c>
      <c r="F172" s="522">
        <f>IF(F169-F171&lt;0,0,F169-F171)</f>
        <v>0</v>
      </c>
      <c r="G172" s="522">
        <f>IF(G169-G171&lt;0,0,G169-G171)</f>
        <v>0</v>
      </c>
      <c r="H172" s="522">
        <f>IF(H169-H171&lt;0,0,H169-H171)</f>
        <v>0</v>
      </c>
      <c r="I172" s="523">
        <f>IF(I169-I171&lt;0,0,I169-I171)</f>
        <v>0</v>
      </c>
    </row>
    <row r="173" spans="1:64" ht="18" customHeight="1">
      <c r="A173" s="839" t="s">
        <v>2242</v>
      </c>
      <c r="B173" s="522">
        <f>IF(AND(C10="nein",C140&gt;0),B140-C130,IF(AND(D10="nein",D140&gt;0),B140-D130,B140))</f>
        <v>0</v>
      </c>
      <c r="C173" s="869"/>
      <c r="D173" s="869"/>
      <c r="E173" s="869"/>
      <c r="F173" s="869"/>
      <c r="G173" s="869"/>
      <c r="H173" s="869"/>
      <c r="I173" s="1005"/>
    </row>
    <row r="174" spans="1:64" ht="18" customHeight="1">
      <c r="A174" s="839" t="s">
        <v>2243</v>
      </c>
      <c r="B174" s="1016">
        <f>C174+D174</f>
        <v>0</v>
      </c>
      <c r="C174" s="1447">
        <f>IF(E174&lt;0,0,E174)</f>
        <v>0</v>
      </c>
      <c r="D174" s="1447">
        <f>IF(F174&lt;0,0,F174)</f>
        <v>0</v>
      </c>
      <c r="E174" s="1448">
        <f>C55+C56+C57+C58-C75-C81-C86-C91-C97-C103-C107-C112-C116-C117</f>
        <v>0</v>
      </c>
      <c r="F174" s="1448">
        <f>D55+D56+D57+D58-D75-D81-D86-D91-D97-D103-D107-D112-D116-D117</f>
        <v>0</v>
      </c>
      <c r="G174" s="869"/>
      <c r="H174" s="869"/>
      <c r="I174" s="1005"/>
    </row>
    <row r="175" spans="1:64" ht="18" customHeight="1">
      <c r="A175" s="839" t="s">
        <v>2244</v>
      </c>
      <c r="B175" s="1016">
        <f>B173-B174</f>
        <v>0</v>
      </c>
      <c r="C175" s="869"/>
      <c r="D175" s="869"/>
      <c r="E175" s="869"/>
      <c r="F175" s="869"/>
      <c r="G175" s="869"/>
      <c r="H175" s="869"/>
      <c r="I175" s="1005"/>
    </row>
    <row r="176" spans="1:64" ht="18" customHeight="1">
      <c r="A176" s="1449" t="s">
        <v>2245</v>
      </c>
      <c r="B176" s="981"/>
      <c r="C176" s="869"/>
      <c r="D176" s="869"/>
      <c r="E176" s="869"/>
      <c r="F176" s="869"/>
      <c r="G176" s="869"/>
      <c r="H176" s="869"/>
      <c r="I176" s="1005"/>
    </row>
    <row r="177" spans="1:9" ht="18" customHeight="1">
      <c r="A177" s="1450" t="s">
        <v>2246</v>
      </c>
      <c r="B177" s="1451">
        <f>C177+D177</f>
        <v>449</v>
      </c>
      <c r="C177" s="1452">
        <f>IF(C10="nein",0,C11)</f>
        <v>449</v>
      </c>
      <c r="D177" s="1452">
        <f>IF(D10="nein",0,D11)</f>
        <v>0</v>
      </c>
      <c r="E177" s="869"/>
      <c r="F177" s="869"/>
      <c r="G177" s="869"/>
      <c r="H177" s="869"/>
      <c r="I177" s="1005"/>
    </row>
    <row r="178" spans="1:9" ht="18" customHeight="1">
      <c r="A178" s="1450" t="s">
        <v>2247</v>
      </c>
      <c r="B178" s="1451">
        <f>C178+D178</f>
        <v>0</v>
      </c>
      <c r="C178" s="1453">
        <f>SUM(C13:C19)</f>
        <v>0</v>
      </c>
      <c r="D178" s="1453">
        <f>SUM(D13:D19)</f>
        <v>0</v>
      </c>
      <c r="E178" s="869"/>
      <c r="F178" s="869"/>
      <c r="G178" s="869"/>
      <c r="H178" s="869"/>
      <c r="I178" s="1005"/>
    </row>
    <row r="179" spans="1:9" ht="18" customHeight="1">
      <c r="A179" s="1450" t="s">
        <v>2248</v>
      </c>
      <c r="B179" s="1454">
        <f>A205</f>
        <v>0</v>
      </c>
      <c r="C179" s="1455">
        <f>A203</f>
        <v>0</v>
      </c>
      <c r="D179" s="869"/>
      <c r="E179" s="869"/>
      <c r="F179" s="869"/>
      <c r="G179" s="869"/>
      <c r="H179" s="869"/>
      <c r="I179" s="1005"/>
    </row>
    <row r="180" spans="1:9" ht="18" customHeight="1">
      <c r="A180" s="1456" t="s">
        <v>60</v>
      </c>
      <c r="B180" s="1457">
        <f>SUM(B177:B179)</f>
        <v>449</v>
      </c>
      <c r="C180" s="869"/>
      <c r="D180" s="869"/>
      <c r="E180" s="869"/>
      <c r="F180" s="869"/>
      <c r="G180" s="869"/>
      <c r="H180" s="869"/>
      <c r="I180" s="1005"/>
    </row>
    <row r="181" spans="1:9" ht="18" customHeight="1">
      <c r="A181" s="1449" t="s">
        <v>2249</v>
      </c>
      <c r="B181" s="869"/>
      <c r="C181" s="869"/>
      <c r="D181" s="869"/>
      <c r="E181" s="869"/>
      <c r="F181" s="869"/>
      <c r="G181" s="869"/>
      <c r="H181" s="869"/>
      <c r="I181" s="1005"/>
    </row>
    <row r="182" spans="1:9" ht="18" customHeight="1">
      <c r="A182" s="1450" t="s">
        <v>2250</v>
      </c>
      <c r="B182" s="1451">
        <f>B180</f>
        <v>449</v>
      </c>
      <c r="C182" s="869"/>
      <c r="D182" s="869"/>
      <c r="E182" s="869"/>
      <c r="F182" s="869"/>
      <c r="G182" s="869"/>
      <c r="H182" s="869"/>
      <c r="I182" s="1005"/>
    </row>
    <row r="183" spans="1:9" ht="18" customHeight="1">
      <c r="A183" s="1450" t="s">
        <v>2251</v>
      </c>
      <c r="B183" s="1454">
        <f>D199</f>
        <v>0</v>
      </c>
      <c r="C183" s="869"/>
      <c r="D183" s="869"/>
      <c r="E183" s="869"/>
      <c r="F183" s="869"/>
      <c r="G183" s="869"/>
      <c r="H183" s="869"/>
      <c r="I183" s="1005"/>
    </row>
    <row r="184" spans="1:9" ht="18" customHeight="1">
      <c r="A184" s="1456" t="s">
        <v>60</v>
      </c>
      <c r="B184" s="1457">
        <f>B182+B183</f>
        <v>449</v>
      </c>
      <c r="C184" s="869"/>
      <c r="D184" s="869"/>
      <c r="E184" s="869"/>
      <c r="F184" s="869"/>
      <c r="G184" s="869"/>
      <c r="H184" s="869"/>
      <c r="I184" s="1005"/>
    </row>
    <row r="185" spans="1:9" ht="18" customHeight="1">
      <c r="A185" s="833"/>
      <c r="B185" s="869"/>
      <c r="C185" s="869"/>
      <c r="D185" s="869"/>
      <c r="E185" s="869"/>
      <c r="F185" s="869"/>
      <c r="G185" s="869"/>
      <c r="H185" s="869"/>
      <c r="I185" s="1005"/>
    </row>
    <row r="186" spans="1:9" ht="18" customHeight="1">
      <c r="A186" s="839" t="s">
        <v>2252</v>
      </c>
      <c r="B186" s="1016">
        <f>B172</f>
        <v>0</v>
      </c>
      <c r="C186" s="869"/>
      <c r="D186" s="869"/>
      <c r="E186" s="869"/>
      <c r="F186" s="869"/>
      <c r="G186" s="869"/>
      <c r="H186" s="869"/>
      <c r="I186" s="1005"/>
    </row>
    <row r="187" spans="1:9" ht="18" customHeight="1">
      <c r="A187" s="839" t="s">
        <v>2253</v>
      </c>
      <c r="B187" s="1016">
        <f>IF(B173&gt;B180,B173-B180,0)</f>
        <v>0</v>
      </c>
      <c r="C187" s="869"/>
      <c r="D187" s="869"/>
      <c r="E187" s="869"/>
      <c r="F187" s="869"/>
      <c r="G187" s="869"/>
      <c r="H187" s="869"/>
      <c r="I187" s="1005"/>
    </row>
    <row r="188" spans="1:9" ht="18" hidden="1" customHeight="1">
      <c r="A188" s="833"/>
      <c r="B188" s="1016">
        <f>IF((B174=0),B173-B180,C188)</f>
        <v>-449</v>
      </c>
      <c r="C188" s="899">
        <f>IF((B175=0),ROUNDDOWN((B174-B180)/10,0)*5,D188)</f>
        <v>-220</v>
      </c>
      <c r="D188" s="899">
        <f>IF((B175&gt;B180),(B175-B180)+ROUNDDOWN(B174/10,0)*5,E188)</f>
        <v>-220</v>
      </c>
      <c r="E188" s="899">
        <f>ROUNDDOWN((B173-B180)/10,0)*5</f>
        <v>-220</v>
      </c>
      <c r="F188" s="869"/>
      <c r="G188" s="869"/>
      <c r="H188" s="869"/>
      <c r="I188" s="1005"/>
    </row>
    <row r="189" spans="1:9" ht="18" customHeight="1">
      <c r="A189" s="839" t="s">
        <v>2254</v>
      </c>
      <c r="B189" s="1227">
        <f>IF(B188&lt;0,0,B188)</f>
        <v>0</v>
      </c>
      <c r="C189" s="869"/>
      <c r="D189" s="869"/>
      <c r="E189" s="869"/>
      <c r="F189" s="869"/>
      <c r="G189" s="869"/>
      <c r="H189" s="869"/>
      <c r="I189" s="1005"/>
    </row>
    <row r="190" spans="1:9" ht="18" customHeight="1">
      <c r="A190" s="1003" t="s">
        <v>2255</v>
      </c>
      <c r="B190" s="1458">
        <f>IF(B186-B189&lt;0,0,B186-B189)</f>
        <v>0</v>
      </c>
      <c r="C190" s="869"/>
      <c r="D190" s="869"/>
      <c r="E190" s="869"/>
      <c r="F190" s="869"/>
      <c r="G190" s="869"/>
      <c r="H190" s="869"/>
      <c r="I190" s="1005"/>
    </row>
    <row r="191" spans="1:9" ht="18" customHeight="1">
      <c r="A191" s="1003" t="s">
        <v>2256</v>
      </c>
      <c r="B191" s="1004">
        <f>B160</f>
        <v>449</v>
      </c>
      <c r="C191" s="869"/>
      <c r="D191" s="869"/>
      <c r="E191" s="869"/>
      <c r="F191" s="869"/>
      <c r="G191" s="869"/>
      <c r="H191" s="869"/>
      <c r="I191" s="1005"/>
    </row>
    <row r="192" spans="1:9" ht="18" customHeight="1">
      <c r="A192" s="1003" t="str">
        <f>IF(B190&lt;B191,"möglicher Wohngeldanspruch",0)</f>
        <v>möglicher Wohngeldanspruch</v>
      </c>
      <c r="B192" s="1004">
        <f>IF(B190&lt;B191,Wohngeld!B58,0)</f>
        <v>0</v>
      </c>
      <c r="C192" s="869"/>
      <c r="D192" s="869"/>
      <c r="E192" s="869"/>
      <c r="F192" s="869"/>
      <c r="G192" s="869"/>
      <c r="H192" s="869"/>
      <c r="I192" s="1005"/>
    </row>
    <row r="193" spans="1:14" ht="24.95" customHeight="1">
      <c r="A193" s="1010" t="s">
        <v>2257</v>
      </c>
      <c r="B193" s="1011" t="str">
        <f>IF(B173&gt;B184,"0,00 €",IF(B191=0,"0,00 €",IF(B190+B192&lt;B191,"0,00 €",ROUND(B190,0))))</f>
        <v>0,00 €</v>
      </c>
      <c r="C193" s="1012">
        <f>IF(B173&gt;B184,0,IF(B191=0,0,IF(B190+B192&lt;B191,0,ROUND(B190,0))))</f>
        <v>0</v>
      </c>
      <c r="D193" s="1981" t="str">
        <f>IF(B191=0,"kein KiZ - gesamter Bedarf gedeckt",IF(AND(B173&lt;B184,B190&gt;0,B192&gt;0,B191-B190&lt;B192),"Anspruch auf KiZ durch Wohngeld",IF(AND(B190&gt;0,B173&lt;B184,B190+B192&lt;B191),"kein KiZ - Hilfebedürftigkeit kann - ggf. auch mit Wohngeld - nicht vermieden werden",IF(B168&lt;B167,"kein KiZ - Einkommen der Eltern unterschreitet die Mindesteinkommensgrenze",IF(B173&gt;B184,"kein KiZ - Einkommen der Eltern übersteigt die Höchsteinkommensgrenze",0)))))</f>
        <v>kein KiZ - Einkommen der Eltern unterschreitet die Mindesteinkommensgrenze</v>
      </c>
      <c r="E193" s="1981"/>
      <c r="F193" s="1981"/>
      <c r="G193" s="1981"/>
      <c r="H193" s="1981"/>
      <c r="I193" s="1981"/>
    </row>
    <row r="194" spans="1:14" ht="22.5" customHeight="1">
      <c r="A194" s="1274"/>
      <c r="B194" s="1459"/>
      <c r="C194" s="1459"/>
      <c r="D194" s="1459"/>
      <c r="E194" s="1459"/>
      <c r="F194" s="1459"/>
      <c r="G194" s="1459"/>
      <c r="H194" s="1459"/>
      <c r="I194" s="1459"/>
    </row>
    <row r="195" spans="1:14" ht="18" hidden="1" customHeight="1">
      <c r="B195" s="1459"/>
      <c r="C195" s="1459"/>
      <c r="D195" s="1459"/>
      <c r="E195" s="1459"/>
      <c r="F195" s="1459"/>
      <c r="G195" s="1459"/>
      <c r="H195" s="1459"/>
      <c r="I195" s="1459"/>
    </row>
    <row r="196" spans="1:14" ht="18" hidden="1" customHeight="1">
      <c r="A196" s="1459" t="s">
        <v>2252</v>
      </c>
      <c r="B196" s="1460">
        <v>42552</v>
      </c>
      <c r="C196" s="1461">
        <v>160</v>
      </c>
      <c r="D196" s="1459"/>
      <c r="E196" s="1459"/>
      <c r="F196" s="1459"/>
      <c r="G196" s="1459"/>
      <c r="H196" s="1459"/>
      <c r="I196" s="1459"/>
    </row>
    <row r="197" spans="1:14" ht="18" hidden="1" customHeight="1">
      <c r="A197" s="1459"/>
      <c r="B197" s="1460">
        <v>42736</v>
      </c>
      <c r="C197" s="1461">
        <v>170</v>
      </c>
    </row>
    <row r="198" spans="1:14" ht="18" hidden="1" customHeight="1">
      <c r="B198" s="1460">
        <v>43647</v>
      </c>
      <c r="C198" s="1461">
        <v>185</v>
      </c>
    </row>
    <row r="199" spans="1:14" ht="18" hidden="1" customHeight="1">
      <c r="C199" s="1462">
        <f>VLOOKUP(E3,B196:C198,2)</f>
        <v>185</v>
      </c>
      <c r="D199" s="1463">
        <f>SUM(E199:I199)</f>
        <v>0</v>
      </c>
      <c r="E199" s="1014">
        <f>IF(E166="nein",0,IF(E171&gt;=$C$199,0,IF(AND(E171&gt;0,E171&lt;$C$199),$C$199-E171,$C$199)))</f>
        <v>0</v>
      </c>
      <c r="F199" s="1014">
        <f>IF(F166="nein",0,IF(F171&gt;=$C$199,0,IF(AND(F171&gt;0,F171&lt;$C$199),$C$199-F171,$C$199)))</f>
        <v>0</v>
      </c>
      <c r="G199" s="1014">
        <f>IF(G166="nein",0,IF(G171&gt;=$C$199,0,IF(AND(G171&gt;0,G171&lt;$C$199),$C$199-G171,$C$199)))</f>
        <v>0</v>
      </c>
      <c r="H199" s="1014">
        <f>IF(H166="nein",0,IF(H171&gt;=$C$199,0,IF(AND(H171&gt;0,H171&lt;$C$199),$C$199-H171,$C$199)))</f>
        <v>0</v>
      </c>
      <c r="I199" s="1014">
        <f>IF(I166="nein",0,IF(I171&gt;=$C$199,0,IF(AND(I171&gt;0,I171&lt;$C$199),$C$199-I171,$C$199)))</f>
        <v>0</v>
      </c>
    </row>
    <row r="200" spans="1:14" ht="18" hidden="1" customHeight="1"/>
    <row r="201" spans="1:14" ht="18" hidden="1" customHeight="1"/>
    <row r="202" spans="1:14" ht="18" hidden="1" customHeight="1">
      <c r="A202" s="1464" t="s">
        <v>2258</v>
      </c>
      <c r="C202" s="1464" t="s">
        <v>2259</v>
      </c>
      <c r="J202" s="1464" t="s">
        <v>2260</v>
      </c>
    </row>
    <row r="203" spans="1:14" ht="18" hidden="1" customHeight="1">
      <c r="A203" s="1465">
        <f>C211/100</f>
        <v>0</v>
      </c>
      <c r="B203" s="1466" t="s">
        <v>2261</v>
      </c>
      <c r="C203" s="1013">
        <v>42370</v>
      </c>
      <c r="D203" s="1013">
        <v>42736</v>
      </c>
      <c r="E203" s="1013">
        <v>43101</v>
      </c>
      <c r="F203" s="1013">
        <v>43466</v>
      </c>
      <c r="G203" s="1013">
        <v>43831</v>
      </c>
      <c r="I203" s="1466" t="s">
        <v>2261</v>
      </c>
      <c r="J203" s="1013">
        <v>42370</v>
      </c>
      <c r="K203" s="1013">
        <v>42736</v>
      </c>
      <c r="L203" s="1013">
        <v>43101</v>
      </c>
      <c r="M203" s="1013">
        <v>43466</v>
      </c>
      <c r="N203" s="1013">
        <v>43831</v>
      </c>
    </row>
    <row r="204" spans="1:14" ht="18" hidden="1" customHeight="1">
      <c r="A204" s="1461">
        <f>B213</f>
        <v>0</v>
      </c>
      <c r="B204" s="1466">
        <v>1</v>
      </c>
      <c r="C204" s="1467">
        <v>76.64</v>
      </c>
      <c r="D204" s="1467">
        <v>77.25</v>
      </c>
      <c r="E204" s="1468">
        <v>77.239999999999995</v>
      </c>
      <c r="F204" s="1467"/>
      <c r="I204" s="1466">
        <v>1</v>
      </c>
      <c r="J204" s="1467">
        <v>83.16</v>
      </c>
      <c r="K204" s="1467">
        <v>83.16</v>
      </c>
      <c r="L204" s="1468">
        <v>83.25</v>
      </c>
      <c r="M204" s="1467"/>
    </row>
    <row r="205" spans="1:14" ht="18" hidden="1" customHeight="1">
      <c r="A205" s="1462">
        <f>A204*A203</f>
        <v>0</v>
      </c>
      <c r="B205" s="1466">
        <v>2</v>
      </c>
      <c r="C205" s="1467">
        <v>62.13</v>
      </c>
      <c r="D205" s="1467">
        <v>62.93</v>
      </c>
      <c r="E205" s="1468">
        <v>62.92</v>
      </c>
      <c r="F205" s="1467"/>
      <c r="I205" s="1466">
        <v>2</v>
      </c>
      <c r="J205" s="1467">
        <v>71.17</v>
      </c>
      <c r="K205" s="1467">
        <v>71.17</v>
      </c>
      <c r="L205" s="1468">
        <v>71.3</v>
      </c>
      <c r="M205" s="1467"/>
    </row>
    <row r="206" spans="1:14" ht="18" hidden="1" customHeight="1">
      <c r="B206" s="1466">
        <v>3</v>
      </c>
      <c r="C206" s="1467">
        <v>52.24</v>
      </c>
      <c r="D206" s="1467">
        <v>53.09</v>
      </c>
      <c r="E206" s="1468">
        <v>53.08</v>
      </c>
      <c r="F206" s="1467"/>
      <c r="I206" s="1466">
        <v>3</v>
      </c>
      <c r="J206" s="1467">
        <v>62.2</v>
      </c>
      <c r="K206" s="1467">
        <v>62.2</v>
      </c>
      <c r="L206" s="1468">
        <v>62.36</v>
      </c>
      <c r="M206" s="1467"/>
    </row>
    <row r="207" spans="1:14" ht="18" hidden="1" customHeight="1">
      <c r="B207" s="1466">
        <v>4</v>
      </c>
      <c r="C207" s="1467">
        <v>45.06</v>
      </c>
      <c r="D207" s="1467">
        <v>45.92</v>
      </c>
      <c r="E207" s="1468">
        <v>45.9</v>
      </c>
      <c r="F207" s="1467"/>
      <c r="I207" s="1466">
        <v>4</v>
      </c>
      <c r="J207" s="1467">
        <v>55.24</v>
      </c>
      <c r="K207" s="1467">
        <v>55.24</v>
      </c>
      <c r="L207" s="1468">
        <v>55.41</v>
      </c>
      <c r="M207" s="1467"/>
    </row>
    <row r="208" spans="1:14" ht="18" hidden="1" customHeight="1">
      <c r="A208" s="1469"/>
      <c r="B208" s="1470">
        <v>5</v>
      </c>
      <c r="C208" s="1471">
        <v>39.619999999999997</v>
      </c>
      <c r="D208" s="1471">
        <v>40.450000000000003</v>
      </c>
      <c r="E208" s="1471">
        <v>40.43</v>
      </c>
      <c r="F208" s="1471"/>
      <c r="G208" s="1472"/>
      <c r="H208" s="1472"/>
      <c r="I208" s="1470">
        <v>5</v>
      </c>
      <c r="J208" s="1471">
        <v>49.69</v>
      </c>
      <c r="K208" s="1471">
        <v>49.69</v>
      </c>
      <c r="L208" s="1471">
        <v>49.85</v>
      </c>
      <c r="M208" s="1471"/>
      <c r="N208" s="1472"/>
    </row>
    <row r="209" spans="1:64" ht="18" hidden="1" customHeight="1">
      <c r="A209" s="1473">
        <v>42370</v>
      </c>
      <c r="B209" s="1474">
        <f>C209</f>
        <v>0</v>
      </c>
      <c r="C209" s="1474">
        <f>IF(J130&gt;0,VLOOKUP($J$130,B204:C208,2),0)</f>
        <v>0</v>
      </c>
      <c r="D209" s="1474">
        <f>IF(J130&gt;0,VLOOKUP($J$130,B204:D208,3),0)</f>
        <v>0</v>
      </c>
      <c r="E209" s="1474">
        <f>IF(J130&gt;0,VLOOKUP($J$130,B204:E208,4),0)</f>
        <v>0</v>
      </c>
      <c r="F209" s="637"/>
      <c r="G209" s="637"/>
      <c r="H209" s="1475">
        <v>42370</v>
      </c>
      <c r="I209" s="1474">
        <f>J209</f>
        <v>0</v>
      </c>
      <c r="J209" s="1474">
        <f>IF(J130&gt;0,VLOOKUP($J$130,I204:J208,2),0)</f>
        <v>0</v>
      </c>
      <c r="K209" s="1474">
        <f>IF(J130&gt;0,VLOOKUP($J$130,I204:K208,3),0)</f>
        <v>0</v>
      </c>
      <c r="L209" s="1474">
        <f>IF(J130&gt;0,VLOOKUP($J$130,I204:L208,4),0)</f>
        <v>0</v>
      </c>
      <c r="M209" s="1459"/>
      <c r="N209" s="1459"/>
      <c r="O209" s="1459"/>
      <c r="P209" s="1459"/>
      <c r="Q209" s="1459"/>
      <c r="R209" s="1459"/>
      <c r="S209" s="1459"/>
      <c r="T209" s="1459"/>
      <c r="U209" s="1459"/>
      <c r="V209" s="1459"/>
      <c r="W209" s="1459"/>
      <c r="X209" s="1459"/>
      <c r="Y209" s="1459"/>
      <c r="Z209" s="1459"/>
      <c r="AA209" s="1459"/>
      <c r="AB209" s="1459"/>
      <c r="AC209" s="1459"/>
      <c r="AD209" s="1459"/>
      <c r="AE209" s="1459"/>
      <c r="AF209" s="1459"/>
      <c r="AG209" s="1459"/>
      <c r="AH209" s="1459"/>
      <c r="AI209" s="1459"/>
      <c r="AJ209" s="1459"/>
      <c r="AK209" s="1459"/>
      <c r="AL209" s="1459"/>
      <c r="AM209" s="1459"/>
      <c r="AN209" s="1459"/>
      <c r="AO209" s="1459"/>
      <c r="AP209" s="1459"/>
      <c r="AQ209" s="1459"/>
      <c r="AR209" s="1459"/>
      <c r="AS209" s="1459"/>
      <c r="AT209" s="1459"/>
      <c r="AU209" s="1459"/>
      <c r="AV209" s="1459"/>
      <c r="AW209" s="1459"/>
      <c r="AX209" s="1459"/>
      <c r="AY209" s="1459"/>
      <c r="AZ209" s="1459"/>
      <c r="BA209" s="1459"/>
      <c r="BB209" s="1459"/>
      <c r="BC209" s="1459"/>
      <c r="BD209" s="1459"/>
      <c r="BE209" s="1459"/>
      <c r="BF209" s="1459"/>
      <c r="BG209" s="1459"/>
      <c r="BH209" s="1459"/>
      <c r="BI209" s="1459"/>
      <c r="BJ209" s="1459"/>
      <c r="BK209" s="1459"/>
      <c r="BL209" s="1459"/>
    </row>
    <row r="210" spans="1:64" ht="18" hidden="1" customHeight="1">
      <c r="A210" s="1473">
        <v>42736</v>
      </c>
      <c r="B210" s="1474">
        <f>D209</f>
        <v>0</v>
      </c>
      <c r="C210" s="1476">
        <f>VLOOKUP($E$3,A209:B211,2)</f>
        <v>0</v>
      </c>
      <c r="D210" s="1474"/>
      <c r="E210" s="637"/>
      <c r="F210" s="637"/>
      <c r="G210" s="637"/>
      <c r="H210" s="1473">
        <v>42736</v>
      </c>
      <c r="I210" s="1474">
        <f>K209</f>
        <v>0</v>
      </c>
      <c r="J210" s="1476">
        <f>VLOOKUP($E$3,H209:I210,2)</f>
        <v>0</v>
      </c>
      <c r="K210" s="1474"/>
      <c r="L210" s="1459"/>
      <c r="M210" s="1459"/>
      <c r="N210" s="1459"/>
      <c r="O210" s="1459"/>
      <c r="P210" s="1459"/>
      <c r="Q210" s="1459"/>
      <c r="R210" s="1459"/>
      <c r="S210" s="1459"/>
      <c r="T210" s="1459"/>
      <c r="U210" s="1459"/>
      <c r="V210" s="1459"/>
      <c r="W210" s="1459"/>
      <c r="X210" s="1459"/>
      <c r="Y210" s="1459"/>
      <c r="Z210" s="1459"/>
      <c r="AA210" s="1459"/>
      <c r="AB210" s="1459"/>
      <c r="AC210" s="1459"/>
      <c r="AD210" s="1459"/>
      <c r="AE210" s="1459"/>
      <c r="AF210" s="1459"/>
      <c r="AG210" s="1459"/>
      <c r="AH210" s="1459"/>
      <c r="AI210" s="1459"/>
      <c r="AJ210" s="1459"/>
      <c r="AK210" s="1459"/>
      <c r="AL210" s="1459"/>
      <c r="AM210" s="1459"/>
      <c r="AN210" s="1459"/>
      <c r="AO210" s="1459"/>
      <c r="AP210" s="1459"/>
      <c r="AQ210" s="1459"/>
      <c r="AR210" s="1459"/>
      <c r="AS210" s="1459"/>
      <c r="AT210" s="1459"/>
      <c r="AU210" s="1459"/>
      <c r="AV210" s="1459"/>
      <c r="AW210" s="1459"/>
      <c r="AX210" s="1459"/>
      <c r="AY210" s="1459"/>
      <c r="AZ210" s="1459"/>
      <c r="BA210" s="1459"/>
      <c r="BB210" s="1459"/>
      <c r="BC210" s="1459"/>
      <c r="BD210" s="1459"/>
      <c r="BE210" s="1459"/>
      <c r="BF210" s="1459"/>
      <c r="BG210" s="1459"/>
      <c r="BH210" s="1459"/>
      <c r="BI210" s="1459"/>
      <c r="BJ210" s="1459"/>
      <c r="BK210" s="1459"/>
      <c r="BL210" s="1459"/>
    </row>
    <row r="211" spans="1:64" ht="18" hidden="1" customHeight="1">
      <c r="A211" s="1475">
        <v>43101</v>
      </c>
      <c r="B211" s="1474">
        <f>E209</f>
        <v>0</v>
      </c>
      <c r="C211" s="1477">
        <f>IF(OR(C10="nein",D10="nein",Zusatzeingaben!C46="ja"),C210,J210)</f>
        <v>0</v>
      </c>
      <c r="D211" s="1474"/>
      <c r="E211" s="637"/>
      <c r="F211" s="637"/>
      <c r="G211" s="637"/>
      <c r="H211" s="637"/>
      <c r="I211" s="637"/>
      <c r="L211" s="1459"/>
      <c r="M211" s="1459"/>
      <c r="N211" s="1459"/>
      <c r="O211" s="1459"/>
      <c r="P211" s="1459"/>
      <c r="Q211" s="1459"/>
      <c r="R211" s="1459"/>
      <c r="S211" s="1459"/>
      <c r="T211" s="1459"/>
      <c r="U211" s="1459"/>
      <c r="V211" s="1459"/>
      <c r="W211" s="1459"/>
      <c r="X211" s="1459"/>
      <c r="Y211" s="1459"/>
      <c r="Z211" s="1459"/>
      <c r="AA211" s="1459"/>
      <c r="AB211" s="1459"/>
      <c r="AC211" s="1459"/>
      <c r="AD211" s="1459"/>
      <c r="AE211" s="1459"/>
      <c r="AF211" s="1459"/>
      <c r="AG211" s="1459"/>
      <c r="AH211" s="1459"/>
      <c r="AI211" s="1459"/>
      <c r="AJ211" s="1459"/>
      <c r="AK211" s="1459"/>
      <c r="AL211" s="1459"/>
      <c r="AM211" s="1459"/>
      <c r="AN211" s="1459"/>
      <c r="AO211" s="1459"/>
      <c r="AP211" s="1459"/>
      <c r="AQ211" s="1459"/>
      <c r="AR211" s="1459"/>
      <c r="AS211" s="1459"/>
      <c r="AT211" s="1459"/>
      <c r="AU211" s="1459"/>
      <c r="AV211" s="1459"/>
      <c r="AW211" s="1459"/>
      <c r="AX211" s="1459"/>
      <c r="AY211" s="1459"/>
      <c r="AZ211" s="1459"/>
      <c r="BA211" s="1459"/>
      <c r="BB211" s="1459"/>
      <c r="BC211" s="1459"/>
      <c r="BD211" s="1459"/>
      <c r="BE211" s="1459"/>
      <c r="BF211" s="1459"/>
      <c r="BG211" s="1459"/>
      <c r="BH211" s="1459"/>
      <c r="BI211" s="1459"/>
      <c r="BJ211" s="1459"/>
      <c r="BK211" s="1459"/>
      <c r="BL211" s="1459"/>
    </row>
    <row r="212" spans="1:64" ht="18" hidden="1" customHeight="1">
      <c r="A212" s="1475">
        <v>43466</v>
      </c>
      <c r="B212" s="637"/>
      <c r="C212" s="637"/>
      <c r="D212" s="637"/>
      <c r="E212" s="637"/>
      <c r="F212" s="637"/>
      <c r="G212" s="637"/>
      <c r="H212" s="637"/>
      <c r="I212" s="637"/>
      <c r="L212" s="1459"/>
      <c r="M212" s="1459"/>
      <c r="N212" s="1459"/>
      <c r="O212" s="1459"/>
      <c r="P212" s="1459"/>
      <c r="Q212" s="1459"/>
      <c r="R212" s="1459"/>
      <c r="S212" s="1459"/>
      <c r="T212" s="1459"/>
      <c r="U212" s="1459"/>
      <c r="V212" s="1459"/>
      <c r="W212" s="1459"/>
      <c r="X212" s="1459"/>
      <c r="Y212" s="1459"/>
      <c r="Z212" s="1459"/>
      <c r="AA212" s="1459"/>
      <c r="AB212" s="1459"/>
      <c r="AC212" s="1459"/>
      <c r="AD212" s="1459"/>
      <c r="AE212" s="1459"/>
      <c r="AF212" s="1459"/>
      <c r="AG212" s="1459"/>
      <c r="AH212" s="1459"/>
      <c r="AI212" s="1459"/>
      <c r="AJ212" s="1459"/>
      <c r="AK212" s="1459"/>
      <c r="AL212" s="1459"/>
      <c r="AM212" s="1459"/>
      <c r="AN212" s="1459"/>
      <c r="AO212" s="1459"/>
      <c r="AP212" s="1459"/>
      <c r="AQ212" s="1459"/>
      <c r="AR212" s="1459"/>
      <c r="AS212" s="1459"/>
      <c r="AT212" s="1459"/>
      <c r="AU212" s="1459"/>
      <c r="AV212" s="1459"/>
      <c r="AW212" s="1459"/>
      <c r="AX212" s="1459"/>
      <c r="AY212" s="1459"/>
      <c r="AZ212" s="1459"/>
      <c r="BA212" s="1459"/>
      <c r="BB212" s="1459"/>
      <c r="BC212" s="1459"/>
      <c r="BD212" s="1459"/>
      <c r="BE212" s="1459"/>
      <c r="BF212" s="1459"/>
      <c r="BG212" s="1459"/>
      <c r="BH212" s="1459"/>
      <c r="BI212" s="1459"/>
      <c r="BJ212" s="1459"/>
      <c r="BK212" s="1459"/>
      <c r="BL212" s="1459"/>
    </row>
    <row r="213" spans="1:64" ht="18" hidden="1" customHeight="1">
      <c r="A213" s="981"/>
      <c r="B213" s="1478">
        <f>SUM(C213:I213)</f>
        <v>0</v>
      </c>
      <c r="C213" s="637">
        <f>IF(C10="nein",0,C47)</f>
        <v>0</v>
      </c>
      <c r="D213" s="637">
        <f>IF(D10="nein",0,D47)</f>
        <v>0</v>
      </c>
      <c r="E213" s="637">
        <f>IF(E130&gt;0,E47,0)</f>
        <v>0</v>
      </c>
      <c r="F213" s="637">
        <f>IF(F130&gt;0,F47,0)</f>
        <v>0</v>
      </c>
      <c r="G213" s="637">
        <f>IF(G130&gt;0,G47,0)</f>
        <v>0</v>
      </c>
      <c r="H213" s="637">
        <f>IF(H130&gt;0,H47,0)</f>
        <v>0</v>
      </c>
      <c r="I213" s="637">
        <f>IF(I130&gt;0,I47,0)</f>
        <v>0</v>
      </c>
      <c r="L213" s="1459"/>
      <c r="M213" s="1459"/>
      <c r="N213" s="1459"/>
      <c r="O213" s="1459"/>
      <c r="P213" s="1459"/>
      <c r="Q213" s="1459"/>
      <c r="R213" s="1459"/>
      <c r="S213" s="1459"/>
      <c r="T213" s="1459"/>
      <c r="U213" s="1459"/>
      <c r="V213" s="1459"/>
      <c r="W213" s="1459"/>
      <c r="X213" s="1459"/>
      <c r="Y213" s="1459"/>
      <c r="Z213" s="1459"/>
      <c r="AA213" s="1459"/>
      <c r="AB213" s="1459"/>
      <c r="AC213" s="1459"/>
      <c r="AD213" s="1459"/>
      <c r="AE213" s="1459"/>
      <c r="AF213" s="1459"/>
      <c r="AG213" s="1459"/>
      <c r="AH213" s="1459"/>
      <c r="AI213" s="1459"/>
      <c r="AJ213" s="1459"/>
      <c r="AK213" s="1459"/>
      <c r="AL213" s="1459"/>
      <c r="AM213" s="1459"/>
      <c r="AN213" s="1459"/>
      <c r="AO213" s="1459"/>
      <c r="AP213" s="1459"/>
      <c r="AQ213" s="1459"/>
      <c r="AR213" s="1459"/>
      <c r="AS213" s="1459"/>
      <c r="AT213" s="1459"/>
      <c r="AU213" s="1459"/>
      <c r="AV213" s="1459"/>
      <c r="AW213" s="1459"/>
      <c r="AX213" s="1459"/>
      <c r="AY213" s="1459"/>
      <c r="AZ213" s="1459"/>
      <c r="BA213" s="1459"/>
      <c r="BB213" s="1459"/>
      <c r="BC213" s="1459"/>
      <c r="BD213" s="1459"/>
      <c r="BE213" s="1459"/>
      <c r="BF213" s="1459"/>
      <c r="BG213" s="1459"/>
      <c r="BH213" s="1459"/>
      <c r="BI213" s="1459"/>
      <c r="BJ213" s="1459"/>
      <c r="BK213" s="1459"/>
      <c r="BL213" s="1459"/>
    </row>
    <row r="214" spans="1:64" ht="18" customHeight="1">
      <c r="L214" s="1459"/>
      <c r="M214" s="1459"/>
      <c r="N214" s="1459"/>
      <c r="O214" s="1459"/>
      <c r="P214" s="1459"/>
      <c r="Q214" s="1459"/>
      <c r="R214" s="1459"/>
      <c r="S214" s="1459"/>
      <c r="T214" s="1459"/>
      <c r="U214" s="1459"/>
      <c r="V214" s="1459"/>
      <c r="W214" s="1459"/>
      <c r="X214" s="1459"/>
      <c r="Y214" s="1459"/>
      <c r="Z214" s="1459"/>
      <c r="AA214" s="1459"/>
      <c r="AB214" s="1459"/>
      <c r="AC214" s="1459"/>
      <c r="AD214" s="1459"/>
      <c r="AE214" s="1459"/>
      <c r="AF214" s="1459"/>
      <c r="AG214" s="1459"/>
      <c r="AH214" s="1459"/>
      <c r="AI214" s="1459"/>
      <c r="AJ214" s="1459"/>
      <c r="AK214" s="1459"/>
      <c r="AL214" s="1459"/>
      <c r="AM214" s="1459"/>
      <c r="AN214" s="1459"/>
      <c r="AO214" s="1459"/>
      <c r="AP214" s="1459"/>
      <c r="AQ214" s="1459"/>
      <c r="AR214" s="1459"/>
      <c r="AS214" s="1459"/>
      <c r="AT214" s="1459"/>
      <c r="AU214" s="1459"/>
      <c r="AV214" s="1459"/>
      <c r="AW214" s="1459"/>
      <c r="AX214" s="1459"/>
      <c r="AY214" s="1459"/>
      <c r="AZ214" s="1459"/>
      <c r="BA214" s="1459"/>
      <c r="BB214" s="1459"/>
      <c r="BC214" s="1459"/>
      <c r="BD214" s="1459"/>
      <c r="BE214" s="1459"/>
      <c r="BF214" s="1459"/>
      <c r="BG214" s="1459"/>
      <c r="BH214" s="1459"/>
      <c r="BI214" s="1459"/>
      <c r="BJ214" s="1459"/>
      <c r="BK214" s="1459"/>
      <c r="BL214" s="1459"/>
    </row>
    <row r="215" spans="1:64" ht="18" customHeight="1">
      <c r="L215" s="1459"/>
      <c r="M215" s="1459"/>
      <c r="N215" s="1459"/>
      <c r="O215" s="1459"/>
      <c r="P215" s="1459"/>
      <c r="Q215" s="1459"/>
      <c r="R215" s="1459"/>
      <c r="S215" s="1459"/>
      <c r="T215" s="1459"/>
      <c r="U215" s="1459"/>
      <c r="V215" s="1459"/>
      <c r="W215" s="1459"/>
      <c r="X215" s="1459"/>
      <c r="Y215" s="1459"/>
      <c r="Z215" s="1459"/>
      <c r="AA215" s="1459"/>
      <c r="AB215" s="1459"/>
      <c r="AC215" s="1459"/>
      <c r="AD215" s="1459"/>
      <c r="AE215" s="1459"/>
      <c r="AF215" s="1459"/>
      <c r="AG215" s="1459"/>
      <c r="AH215" s="1459"/>
      <c r="AI215" s="1459"/>
      <c r="AJ215" s="1459"/>
      <c r="AK215" s="1459"/>
      <c r="AL215" s="1459"/>
      <c r="AM215" s="1459"/>
      <c r="AN215" s="1459"/>
      <c r="AO215" s="1459"/>
      <c r="AP215" s="1459"/>
      <c r="AQ215" s="1459"/>
      <c r="AR215" s="1459"/>
      <c r="AS215" s="1459"/>
      <c r="AT215" s="1459"/>
      <c r="AU215" s="1459"/>
      <c r="AV215" s="1459"/>
      <c r="AW215" s="1459"/>
      <c r="AX215" s="1459"/>
      <c r="AY215" s="1459"/>
      <c r="AZ215" s="1459"/>
      <c r="BA215" s="1459"/>
      <c r="BB215" s="1459"/>
      <c r="BC215" s="1459"/>
      <c r="BD215" s="1459"/>
      <c r="BE215" s="1459"/>
      <c r="BF215" s="1459"/>
      <c r="BG215" s="1459"/>
      <c r="BH215" s="1459"/>
      <c r="BI215" s="1459"/>
      <c r="BJ215" s="1459"/>
      <c r="BK215" s="1459"/>
      <c r="BL215" s="1459"/>
    </row>
    <row r="216" spans="1:64">
      <c r="A216" s="1258" t="s">
        <v>2183</v>
      </c>
      <c r="B216" s="1259"/>
      <c r="C216" s="981"/>
      <c r="D216" s="981"/>
      <c r="F216" s="1260"/>
      <c r="G216" s="818"/>
      <c r="H216" s="818"/>
      <c r="I216" s="818"/>
    </row>
    <row r="217" spans="1:64">
      <c r="A217" s="981" t="s">
        <v>2184</v>
      </c>
      <c r="B217" s="1261">
        <f>IF(AND(C$58=0,C$54&lt;=100),0,IF(AND(C$58=0,C$54&lt;=1000),C$54-100,IF(AND(C$58=0,C$54&gt;1000),1000-100,IF(AND(C$58&gt;0,C$54+C$58&lt;=100),0,IF(AND(C$58&gt;0,C$58+C$54&lt;=1000),C$58+C$54-100,IF(AND(C$58&gt;0,C$58+C$54&gt;1000),1000-100))))))</f>
        <v>0</v>
      </c>
      <c r="C217" s="981" t="s">
        <v>2185</v>
      </c>
      <c r="D217" s="637">
        <f>B217*20/100</f>
        <v>0</v>
      </c>
      <c r="F217" s="818"/>
      <c r="G217" s="818"/>
      <c r="H217" s="818"/>
      <c r="I217" s="952"/>
    </row>
    <row r="218" spans="1:64">
      <c r="A218" s="981" t="s">
        <v>2186</v>
      </c>
      <c r="B218" s="637">
        <f>IF(C$54+C$58&lt;1000.01,0,IF(AND(C$54+C$58&gt;1000,C$54+C$58&lt;=1200),C$54+C$58-1000,IF(AND(C$54+C$58&gt;1200,C8="ja",C$54+C$58&lt;=1500),C$54+C$58-1000,IF(AND(C$54+C$58&gt;1200,C8="nein",C$54+C$58&lt;=1500),1200-1000,IF(AND(C$54+C$58&gt;=1500,C8="ja"),1500-1000,IF(AND(C$54+C$58&gt;1500,C8="nein"),1200-1000))))))</f>
        <v>0</v>
      </c>
      <c r="C218" s="981" t="s">
        <v>2187</v>
      </c>
      <c r="D218" s="637">
        <f>B218*10/100</f>
        <v>0</v>
      </c>
      <c r="F218" s="818"/>
      <c r="G218" s="818"/>
      <c r="H218" s="818"/>
      <c r="I218" s="952"/>
    </row>
    <row r="219" spans="1:64">
      <c r="A219" s="1262" t="s">
        <v>141</v>
      </c>
      <c r="B219" s="981"/>
      <c r="C219" s="981"/>
      <c r="D219" s="1263">
        <f>SUM(D217:D218)</f>
        <v>0</v>
      </c>
      <c r="F219" s="818"/>
      <c r="G219" s="818"/>
      <c r="H219" s="818"/>
      <c r="I219" s="952"/>
    </row>
    <row r="220" spans="1:64">
      <c r="A220" s="981"/>
      <c r="B220" s="981"/>
      <c r="C220" s="981"/>
      <c r="D220" s="981"/>
      <c r="F220" s="818"/>
      <c r="G220" s="818"/>
      <c r="H220" s="818"/>
      <c r="I220" s="952"/>
    </row>
    <row r="221" spans="1:64">
      <c r="A221" s="1258" t="s">
        <v>2188</v>
      </c>
      <c r="B221" s="1259"/>
      <c r="C221" s="981"/>
      <c r="D221" s="981"/>
      <c r="F221" s="818"/>
      <c r="G221" s="818"/>
      <c r="H221" s="818"/>
      <c r="I221" s="818"/>
    </row>
    <row r="222" spans="1:64">
      <c r="A222" s="981" t="s">
        <v>2184</v>
      </c>
      <c r="B222" s="637">
        <f>IF(AND(D$58=0,D$54&lt;=100),0,IF(AND(D$58=0,D$54&lt;=1000),D$54-100,IF(AND(D$58=0,D$54&gt;1000),1000-100,IF(AND(D$58&gt;0,D$54+D$58&lt;=100),0,IF(AND(D$58&gt;0,D$58+D$54&lt;=1000),D$58+D$54-100,IF(AND(D$58&gt;0,D$58+D$54&gt;1000),1000-100))))))</f>
        <v>0</v>
      </c>
      <c r="C222" s="981" t="s">
        <v>2185</v>
      </c>
      <c r="D222" s="637">
        <f>B222*20/100</f>
        <v>0</v>
      </c>
      <c r="F222" s="818"/>
      <c r="G222" s="818"/>
      <c r="H222" s="818"/>
      <c r="I222" s="952"/>
    </row>
    <row r="223" spans="1:64">
      <c r="A223" s="981" t="s">
        <v>2186</v>
      </c>
      <c r="B223" s="637">
        <f>IF(D$54+D$58&lt;1000.01,0,IF(AND(D$54+D$58&gt;1000,D$54+D$58&lt;=1200),D$54+D$58-1000,IF(AND(D$54+D$58&gt;1200,D$8="ja",D$54+D$58&lt;=1500),D$54+D$58-1000,IF(AND(D$54+D$58&gt;1200,D$8="nein",D$54+D$58&lt;=1500),1200-1000,IF(AND(D$54+D$58&gt;=1500,D$8="ja"),1500-1000,IF(AND(D$54+D$58&gt;1500,D$8="nein"),1200-1000))))))</f>
        <v>0</v>
      </c>
      <c r="C223" s="981" t="s">
        <v>2187</v>
      </c>
      <c r="D223" s="637">
        <f>B223*10/100</f>
        <v>0</v>
      </c>
      <c r="F223" s="818"/>
      <c r="G223" s="818"/>
      <c r="H223" s="818"/>
      <c r="I223" s="952"/>
    </row>
    <row r="224" spans="1:64">
      <c r="A224" s="1262" t="s">
        <v>141</v>
      </c>
      <c r="B224" s="981"/>
      <c r="C224" s="981"/>
      <c r="D224" s="1263">
        <f>SUM(D222:D223)</f>
        <v>0</v>
      </c>
      <c r="F224" s="818"/>
      <c r="G224" s="818"/>
      <c r="H224" s="818"/>
      <c r="I224" s="952"/>
    </row>
    <row r="225" spans="1:9">
      <c r="A225" s="981"/>
      <c r="B225" s="981"/>
      <c r="C225" s="981"/>
      <c r="D225" s="981"/>
      <c r="F225" s="818"/>
      <c r="G225" s="818"/>
      <c r="H225" s="818"/>
      <c r="I225" s="952"/>
    </row>
    <row r="226" spans="1:9">
      <c r="A226" s="1258" t="s">
        <v>2189</v>
      </c>
      <c r="B226" s="1259"/>
      <c r="C226" s="981"/>
      <c r="D226" s="981"/>
      <c r="F226" s="818"/>
      <c r="G226" s="818"/>
      <c r="H226" s="818"/>
      <c r="I226" s="952"/>
    </row>
    <row r="227" spans="1:9">
      <c r="A227" s="981" t="s">
        <v>2184</v>
      </c>
      <c r="B227" s="637">
        <f>IF(AND(E$58=0,E$54&lt;=100),0,IF(AND(E$58=0,E$54&lt;=1000),E$54-100,IF(AND(E$58=0,E$54&gt;1000),1000-100,IF(AND(E$58&gt;0,E$54+E$58&lt;=100),0,IF(AND(E$58&gt;0,E$58+E$54&lt;=1000),E$58+E$54-100,IF(AND(E$58&gt;0,E$58+E$54&gt;1000),1000-100))))))</f>
        <v>0</v>
      </c>
      <c r="C227" s="981" t="s">
        <v>2185</v>
      </c>
      <c r="D227" s="637">
        <f>B227*20/100</f>
        <v>0</v>
      </c>
    </row>
    <row r="228" spans="1:9">
      <c r="A228" s="981" t="s">
        <v>2186</v>
      </c>
      <c r="B228" s="637">
        <f>IF(E$54+E$58&lt;1000.01,0,IF(AND(E$54+E$58&gt;1000,E$54+E$58&lt;=1200),E$54+E$58-1000,IF(E$54+E$58&gt;1200,1200-1000,)))</f>
        <v>0</v>
      </c>
      <c r="C228" s="981" t="s">
        <v>2187</v>
      </c>
      <c r="D228" s="637">
        <f>B228*10/100</f>
        <v>0</v>
      </c>
    </row>
    <row r="229" spans="1:9">
      <c r="A229" s="1262" t="s">
        <v>141</v>
      </c>
      <c r="B229" s="981"/>
      <c r="C229" s="981"/>
      <c r="D229" s="1263">
        <f>SUM(D227:D228)</f>
        <v>0</v>
      </c>
    </row>
    <row r="230" spans="1:9">
      <c r="A230" s="981"/>
      <c r="B230" s="981"/>
      <c r="C230" s="981"/>
      <c r="D230" s="981"/>
    </row>
    <row r="231" spans="1:9">
      <c r="A231" s="1258" t="s">
        <v>2190</v>
      </c>
      <c r="B231" s="1259"/>
      <c r="C231" s="981"/>
      <c r="D231" s="981"/>
    </row>
    <row r="232" spans="1:9">
      <c r="A232" s="981" t="s">
        <v>2184</v>
      </c>
      <c r="B232" s="637">
        <f>IF(AND(F$58=0,F$54&lt;=100),0,IF(AND(F$58=0,F$54&lt;=1000),F$54-100,IF(AND(F$58=0,F$54&gt;1000),1000-100,IF(AND(F$58&gt;0,F$54+F$58&lt;=100),0,IF(AND(F$58&gt;0,F$58+F$54&lt;=1000),F$58+F$54-100,IF(AND(F$58&gt;0,F$58+F$54&gt;1000),1000-100))))))</f>
        <v>0</v>
      </c>
      <c r="C232" s="981" t="s">
        <v>2185</v>
      </c>
      <c r="D232" s="637">
        <f>B232*20/100</f>
        <v>0</v>
      </c>
    </row>
    <row r="233" spans="1:9">
      <c r="A233" s="981" t="s">
        <v>2186</v>
      </c>
      <c r="B233" s="637">
        <f>IF(F$54+F$58&lt;1000.01,0,IF(AND(F$54+F$58&gt;1000,F$54+F$58&lt;=1200),F$54+F$58-1000,IF(F$54+F$58&gt;1200,1200-1000,)))</f>
        <v>0</v>
      </c>
      <c r="C233" s="981" t="s">
        <v>2187</v>
      </c>
      <c r="D233" s="637">
        <f>B233*10/100</f>
        <v>0</v>
      </c>
    </row>
    <row r="234" spans="1:9">
      <c r="A234" s="1262" t="s">
        <v>141</v>
      </c>
      <c r="B234" s="981"/>
      <c r="C234" s="981"/>
      <c r="D234" s="1263">
        <f>SUM(D232:D233)</f>
        <v>0</v>
      </c>
    </row>
    <row r="235" spans="1:9">
      <c r="A235" s="981"/>
      <c r="B235" s="981"/>
      <c r="C235" s="981"/>
      <c r="D235" s="981"/>
    </row>
    <row r="236" spans="1:9">
      <c r="A236" s="1258" t="s">
        <v>2191</v>
      </c>
      <c r="B236" s="1259"/>
      <c r="C236" s="981"/>
      <c r="D236" s="981"/>
    </row>
    <row r="237" spans="1:9">
      <c r="A237" s="981" t="s">
        <v>2184</v>
      </c>
      <c r="B237" s="637">
        <f>IF(AND(G$58=0,G$54&lt;=100),0,IF(AND(G$58=0,G$54&lt;=1000),G$54-100,IF(AND(G$58=0,G$54&gt;1000),1000-100,IF(AND(G$58&gt;0,G$54+G$58&lt;=100),0,IF(AND(G$58&gt;0,G$58+G$54&lt;=1000),G$58+G$54-100,IF(AND(G$58&gt;0,G$58+G$54&gt;1000),1000-100))))))</f>
        <v>0</v>
      </c>
      <c r="C237" s="981" t="s">
        <v>2185</v>
      </c>
      <c r="D237" s="637">
        <f>B237*20/100</f>
        <v>0</v>
      </c>
    </row>
    <row r="238" spans="1:9">
      <c r="A238" s="981" t="s">
        <v>2186</v>
      </c>
      <c r="B238" s="637">
        <f>IF(G$54+G$58&lt;1000.01,0,IF(AND(G$54+G$58&gt;1000,G$54+G$58&lt;=1200),G$54+G$58-1000,IF(G$54+G$58&gt;1200,1200-1000,)))</f>
        <v>0</v>
      </c>
      <c r="C238" s="981" t="s">
        <v>2187</v>
      </c>
      <c r="D238" s="637">
        <f>B238*10/100</f>
        <v>0</v>
      </c>
    </row>
    <row r="239" spans="1:9">
      <c r="A239" s="1262" t="s">
        <v>141</v>
      </c>
      <c r="B239" s="981"/>
      <c r="C239" s="981"/>
      <c r="D239" s="1263">
        <f>SUM(D237:D238)</f>
        <v>0</v>
      </c>
    </row>
    <row r="240" spans="1:9">
      <c r="A240" s="981"/>
      <c r="B240" s="981"/>
      <c r="C240" s="981"/>
      <c r="D240" s="981"/>
    </row>
    <row r="241" spans="1:4">
      <c r="A241" s="1258" t="s">
        <v>2192</v>
      </c>
      <c r="B241" s="1259"/>
      <c r="C241" s="981"/>
      <c r="D241" s="981"/>
    </row>
    <row r="242" spans="1:4">
      <c r="A242" s="981" t="s">
        <v>2184</v>
      </c>
      <c r="B242" s="637">
        <f>IF(AND(H$58=0,H$54&lt;=100),0,IF(AND(H$58=0,H$54&lt;=1000),H$54-100,IF(AND(H$58=0,H$54&gt;1000),1000-100,IF(AND(H$58&gt;0,H$54+H$58&lt;=100),0,IF(AND(H$58&gt;0,H$58+H$54&lt;=1000),H$58+H$54-100,IF(AND(H$58&gt;0,H$58+H$54&gt;1000),1000-100))))))</f>
        <v>0</v>
      </c>
      <c r="C242" s="981" t="s">
        <v>2185</v>
      </c>
      <c r="D242" s="637">
        <f>B242*20/100</f>
        <v>0</v>
      </c>
    </row>
    <row r="243" spans="1:4">
      <c r="A243" s="981" t="s">
        <v>2186</v>
      </c>
      <c r="B243" s="637">
        <f>IF(H$54+H$58&lt;1000.01,0,IF(AND(H$54+H$58&gt;1000,H$54+H$58&lt;=1200),H$54+H$58-1000,IF(H$54+H$58&gt;1200,1200-1000,)))</f>
        <v>0</v>
      </c>
      <c r="C243" s="981" t="s">
        <v>2187</v>
      </c>
      <c r="D243" s="637">
        <f>B243*10/100</f>
        <v>0</v>
      </c>
    </row>
    <row r="244" spans="1:4">
      <c r="A244" s="1262" t="s">
        <v>141</v>
      </c>
      <c r="B244" s="981"/>
      <c r="C244" s="981"/>
      <c r="D244" s="1263">
        <f>SUM(D242:D243)</f>
        <v>0</v>
      </c>
    </row>
    <row r="245" spans="1:4">
      <c r="A245" s="981"/>
      <c r="B245" s="981"/>
      <c r="C245" s="981"/>
      <c r="D245" s="981"/>
    </row>
    <row r="246" spans="1:4">
      <c r="A246" s="1258" t="s">
        <v>2193</v>
      </c>
      <c r="B246" s="1259"/>
      <c r="C246" s="981"/>
      <c r="D246" s="981"/>
    </row>
    <row r="247" spans="1:4">
      <c r="A247" s="981" t="s">
        <v>2184</v>
      </c>
      <c r="B247" s="637">
        <f>IF(AND(I$58=0,I$54&lt;=100),0,IF(AND(I$58=0,I$54&lt;=1000),I$54-100,IF(AND(I$58=0,I$54&gt;1000),1000-100,IF(AND(I$58&gt;0,I$54+I$58&lt;=100),0,IF(AND(I$58&gt;0,I$58+I$54&lt;=1000),I$58+I$54-100,IF(AND(I$58&gt;0,I$58+I$54&gt;1000),1000-100))))))</f>
        <v>0</v>
      </c>
      <c r="C247" s="981" t="s">
        <v>2185</v>
      </c>
      <c r="D247" s="637">
        <f>B247*20/100</f>
        <v>0</v>
      </c>
    </row>
    <row r="248" spans="1:4">
      <c r="A248" s="981" t="s">
        <v>2186</v>
      </c>
      <c r="B248" s="637">
        <f>IF(I$54+I$58&lt;1000.01,0,IF(AND(I$54+I$58&gt;1000,I$54+I$58&lt;=1200),I$54+I$58-1000,IF(I$54+I$58&gt;1200,1200-1000,)))</f>
        <v>0</v>
      </c>
      <c r="C248" s="981" t="s">
        <v>2187</v>
      </c>
      <c r="D248" s="637">
        <f>B248*10/100</f>
        <v>0</v>
      </c>
    </row>
    <row r="249" spans="1:4">
      <c r="A249" s="1262" t="s">
        <v>141</v>
      </c>
      <c r="B249" s="981"/>
      <c r="C249" s="981"/>
      <c r="D249" s="1263">
        <f>SUM(D247:D248)</f>
        <v>0</v>
      </c>
    </row>
    <row r="250" spans="1:4">
      <c r="A250" s="818"/>
      <c r="B250" s="1264"/>
      <c r="C250" s="818"/>
      <c r="D250" s="818"/>
    </row>
    <row r="251" spans="1:4">
      <c r="A251" s="818"/>
      <c r="B251" s="952"/>
      <c r="C251" s="818"/>
      <c r="D251" s="952"/>
    </row>
    <row r="252" spans="1:4">
      <c r="A252" s="818"/>
      <c r="B252" s="952"/>
      <c r="C252" s="818"/>
      <c r="D252" s="952"/>
    </row>
    <row r="253" spans="1:4">
      <c r="A253" s="1265"/>
      <c r="B253" s="818"/>
      <c r="C253" s="818"/>
      <c r="D253" s="952"/>
    </row>
    <row r="254" spans="1:4">
      <c r="A254" s="818"/>
      <c r="B254" s="818"/>
      <c r="C254" s="818"/>
      <c r="D254" s="818"/>
    </row>
    <row r="255" spans="1:4">
      <c r="A255" s="1266"/>
      <c r="B255" s="1260"/>
      <c r="C255" s="818"/>
      <c r="D255" s="818"/>
    </row>
    <row r="256" spans="1:4">
      <c r="A256" s="818"/>
      <c r="B256" s="952"/>
      <c r="C256" s="818"/>
      <c r="D256" s="952"/>
    </row>
    <row r="257" spans="1:4">
      <c r="A257" s="818"/>
      <c r="B257" s="952"/>
      <c r="C257" s="818"/>
      <c r="D257" s="952"/>
    </row>
    <row r="258" spans="1:4">
      <c r="A258" s="1265"/>
      <c r="B258" s="818"/>
      <c r="C258" s="818"/>
      <c r="D258" s="952"/>
    </row>
    <row r="259" spans="1:4">
      <c r="A259" s="818"/>
      <c r="B259" s="818"/>
      <c r="C259" s="818"/>
      <c r="D259" s="818"/>
    </row>
    <row r="260" spans="1:4">
      <c r="A260" s="1266"/>
      <c r="B260" s="1260"/>
      <c r="C260" s="818"/>
      <c r="D260" s="818"/>
    </row>
    <row r="261" spans="1:4">
      <c r="A261" s="818"/>
      <c r="B261" s="952"/>
      <c r="C261" s="818"/>
      <c r="D261" s="952"/>
    </row>
    <row r="262" spans="1:4">
      <c r="A262" s="818"/>
      <c r="B262" s="952"/>
      <c r="C262" s="818"/>
      <c r="D262" s="952"/>
    </row>
    <row r="263" spans="1:4">
      <c r="A263" s="1265"/>
      <c r="B263" s="818"/>
      <c r="C263" s="818"/>
      <c r="D263" s="952"/>
    </row>
    <row r="264" spans="1:4">
      <c r="A264" s="818"/>
      <c r="B264" s="818"/>
      <c r="C264" s="818"/>
      <c r="D264" s="818"/>
    </row>
    <row r="265" spans="1:4">
      <c r="A265" s="1266"/>
      <c r="B265" s="1260"/>
      <c r="C265" s="818"/>
      <c r="D265" s="818"/>
    </row>
    <row r="266" spans="1:4">
      <c r="A266" s="818"/>
      <c r="B266" s="952"/>
      <c r="C266" s="818"/>
      <c r="D266" s="952"/>
    </row>
    <row r="267" spans="1:4">
      <c r="A267" s="818"/>
      <c r="B267" s="952"/>
      <c r="C267" s="818"/>
      <c r="D267" s="952"/>
    </row>
    <row r="268" spans="1:4">
      <c r="A268" s="1265"/>
      <c r="B268" s="818"/>
      <c r="C268" s="818"/>
      <c r="D268" s="952"/>
    </row>
  </sheetData>
  <mergeCells count="4">
    <mergeCell ref="B3:C3"/>
    <mergeCell ref="A162:I162"/>
    <mergeCell ref="B163:C163"/>
    <mergeCell ref="D193:I193"/>
  </mergeCells>
  <conditionalFormatting sqref="C131 D131:D132 D140:D145 C136:C145 E130:I132 D126:I127 A49 C7:I7 C13:I13 B3:C3 C49:I49 C21:I46 C14:C19 D15:I19 C10:I11 C111:I111 C113:I114 C94:I98 C100:I109 C73:I80 C89:I92 C116:I119 D137:I137 C82:I82 C84:I87 C147:I147 C54:I70">
    <cfRule type="cellIs" dxfId="157" priority="2" operator="equal">
      <formula>0</formula>
    </cfRule>
  </conditionalFormatting>
  <conditionalFormatting sqref="B21:B47 B144:B147 E148:I150 C47:I47 B50:C50 B13:B19 B49 B54:B119">
    <cfRule type="cellIs" dxfId="156" priority="3" operator="equal">
      <formula>0</formula>
    </cfRule>
  </conditionalFormatting>
  <conditionalFormatting sqref="A149">
    <cfRule type="cellIs" dxfId="155" priority="4" operator="equal">
      <formula>"Mehrbedarf nach § 27 (2) SGB II"</formula>
    </cfRule>
  </conditionalFormatting>
  <conditionalFormatting sqref="C149:D150">
    <cfRule type="cellIs" dxfId="154" priority="5" operator="notEqual">
      <formula>0</formula>
    </cfRule>
  </conditionalFormatting>
  <conditionalFormatting sqref="C160">
    <cfRule type="expression" dxfId="153" priority="6">
      <formula>$C$149&gt;0</formula>
    </cfRule>
  </conditionalFormatting>
  <conditionalFormatting sqref="A150">
    <cfRule type="cellIs" dxfId="152" priority="7" operator="equal">
      <formula>"./. Überschuss"</formula>
    </cfRule>
  </conditionalFormatting>
  <conditionalFormatting sqref="D160">
    <cfRule type="expression" dxfId="151" priority="8">
      <formula>$D$149&gt;0</formula>
    </cfRule>
  </conditionalFormatting>
  <conditionalFormatting sqref="C115:D115">
    <cfRule type="cellIs" dxfId="150" priority="9" operator="equal">
      <formula>0</formula>
    </cfRule>
  </conditionalFormatting>
  <conditionalFormatting sqref="E115:I115">
    <cfRule type="cellIs" dxfId="149" priority="10" operator="equal">
      <formula>0</formula>
    </cfRule>
  </conditionalFormatting>
  <conditionalFormatting sqref="C81:I81">
    <cfRule type="cellIs" dxfId="148" priority="11" operator="equal">
      <formula>0</formula>
    </cfRule>
  </conditionalFormatting>
  <conditionalFormatting sqref="C110:I110">
    <cfRule type="cellIs" dxfId="147" priority="12" operator="equal">
      <formula>0</formula>
    </cfRule>
  </conditionalFormatting>
  <conditionalFormatting sqref="C112:I112">
    <cfRule type="cellIs" dxfId="146" priority="13" operator="equal">
      <formula>0</formula>
    </cfRule>
  </conditionalFormatting>
  <conditionalFormatting sqref="C153:I156">
    <cfRule type="cellIs" dxfId="145" priority="14" operator="equal">
      <formula>0</formula>
    </cfRule>
  </conditionalFormatting>
  <conditionalFormatting sqref="B152:B157">
    <cfRule type="cellIs" dxfId="144" priority="15" operator="equal">
      <formula>0</formula>
    </cfRule>
  </conditionalFormatting>
  <conditionalFormatting sqref="A119">
    <cfRule type="expression" dxfId="143" priority="16">
      <formula>B119&gt;0</formula>
    </cfRule>
  </conditionalFormatting>
  <conditionalFormatting sqref="C146">
    <cfRule type="cellIs" dxfId="142" priority="17" operator="equal">
      <formula>0</formula>
    </cfRule>
  </conditionalFormatting>
  <conditionalFormatting sqref="D146">
    <cfRule type="cellIs" dxfId="141" priority="18" operator="equal">
      <formula>0</formula>
    </cfRule>
  </conditionalFormatting>
  <conditionalFormatting sqref="E146:I146">
    <cfRule type="cellIs" dxfId="140" priority="19" operator="equal">
      <formula>0</formula>
    </cfRule>
  </conditionalFormatting>
  <conditionalFormatting sqref="D193:I193">
    <cfRule type="cellIs" dxfId="139" priority="20" operator="notEqual">
      <formula>0</formula>
    </cfRule>
  </conditionalFormatting>
  <hyperlinks>
    <hyperlink ref="A161" location="Eingaben!A1" display="zurück"/>
  </hyperlinks>
  <pageMargins left="0.86597222222222203" right="7.8472222222222193E-2" top="0.15763888888888899" bottom="0.118055555555556"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dimension ref="A1:BL38"/>
  <sheetViews>
    <sheetView showGridLines="0" zoomScale="120" zoomScaleNormal="120" workbookViewId="0">
      <selection activeCell="A2" sqref="A2"/>
    </sheetView>
  </sheetViews>
  <sheetFormatPr baseColWidth="10" defaultColWidth="11.5703125" defaultRowHeight="12.75"/>
  <cols>
    <col min="1" max="1" width="23" customWidth="1"/>
    <col min="2" max="2" width="13.7109375" customWidth="1"/>
    <col min="3" max="9" width="12.7109375" customWidth="1"/>
    <col min="10" max="64" width="10.5703125" customWidth="1"/>
  </cols>
  <sheetData>
    <row r="1" spans="1:64" ht="15" customHeight="1"/>
    <row r="2" spans="1:64" ht="25.5">
      <c r="A2" s="1992" t="s">
        <v>2262</v>
      </c>
      <c r="B2" s="1992"/>
      <c r="C2" s="1992"/>
      <c r="D2" s="1992"/>
      <c r="E2" s="1992"/>
      <c r="F2" s="1992"/>
      <c r="G2" s="1992"/>
      <c r="H2" s="1992"/>
      <c r="I2" s="1992"/>
    </row>
    <row r="3" spans="1:64" ht="40.5" customHeight="1">
      <c r="A3" s="1479" t="s">
        <v>138</v>
      </c>
      <c r="B3" s="1993">
        <f>Zusatzeingaben!B2</f>
        <v>0</v>
      </c>
      <c r="C3" s="1993"/>
      <c r="D3" s="1480" t="s">
        <v>139</v>
      </c>
      <c r="E3" s="1481">
        <f>Zusatzeingaben!E2</f>
        <v>44774</v>
      </c>
      <c r="F3" s="1482" t="s">
        <v>2158</v>
      </c>
      <c r="G3" s="1483">
        <f>IF(B5=1,DATE(YEAR(E3),MONTH(E3),DAY(E3)+6*7-1),IF(B4=1,EOMONTH(E3,2),0))</f>
        <v>0</v>
      </c>
      <c r="H3" s="1484"/>
      <c r="I3" s="1485"/>
    </row>
    <row r="4" spans="1:64" ht="30" customHeight="1">
      <c r="A4" s="1486" t="s">
        <v>2263</v>
      </c>
      <c r="B4" s="1487" t="b">
        <f>TRUE()</f>
        <v>1</v>
      </c>
      <c r="C4" s="1488" t="s">
        <v>2264</v>
      </c>
      <c r="D4" s="834"/>
      <c r="E4" s="834"/>
      <c r="F4" s="834"/>
      <c r="G4" s="1489"/>
      <c r="H4" s="834"/>
      <c r="I4" s="835"/>
    </row>
    <row r="5" spans="1:64" ht="30" customHeight="1">
      <c r="A5" s="1490"/>
      <c r="B5" s="1491" t="b">
        <f>FALSE()</f>
        <v>0</v>
      </c>
      <c r="C5" s="1492" t="s">
        <v>2265</v>
      </c>
      <c r="D5" s="1493"/>
      <c r="E5" s="1493"/>
      <c r="F5" s="1493"/>
      <c r="G5" s="1494">
        <f>DAY(G3)</f>
        <v>0</v>
      </c>
      <c r="H5" s="1493"/>
      <c r="I5" s="1495"/>
      <c r="K5" s="563"/>
    </row>
    <row r="6" spans="1:64" ht="42" customHeight="1">
      <c r="A6" s="818"/>
      <c r="B6" s="819"/>
      <c r="C6" s="818"/>
      <c r="D6" s="818"/>
      <c r="E6" s="818"/>
      <c r="F6" s="818"/>
      <c r="G6" s="818"/>
      <c r="H6" s="818"/>
      <c r="I6" s="818"/>
      <c r="J6" s="706"/>
      <c r="M6" s="1496"/>
    </row>
    <row r="7" spans="1:64" ht="30" customHeight="1">
      <c r="A7" s="1497"/>
      <c r="B7" s="1498" t="s">
        <v>246</v>
      </c>
      <c r="C7" s="1498" t="str">
        <f>Zusatzeingaben!C4</f>
        <v>Antragsteller</v>
      </c>
      <c r="D7" s="1498" t="str">
        <f>Zusatzeingaben!D4</f>
        <v>Partner(in)</v>
      </c>
      <c r="E7" s="1498" t="str">
        <f>Zusatzeingaben!E4</f>
        <v>Kind 1</v>
      </c>
      <c r="F7" s="1498" t="s">
        <v>145</v>
      </c>
      <c r="G7" s="1498" t="s">
        <v>146</v>
      </c>
      <c r="H7" s="1498" t="s">
        <v>147</v>
      </c>
      <c r="I7" s="1499" t="s">
        <v>148</v>
      </c>
    </row>
    <row r="8" spans="1:64" ht="30" customHeight="1">
      <c r="A8" s="1500" t="s">
        <v>2163</v>
      </c>
      <c r="B8" s="1501"/>
      <c r="C8" s="765">
        <f>Berechnung!C11</f>
        <v>449</v>
      </c>
      <c r="D8" s="765">
        <f>Berechnung!D11</f>
        <v>0</v>
      </c>
      <c r="E8" s="765">
        <f>Berechnung!E11</f>
        <v>0</v>
      </c>
      <c r="F8" s="765">
        <f>Berechnung!F11</f>
        <v>0</v>
      </c>
      <c r="G8" s="765">
        <f>Berechnung!G11</f>
        <v>0</v>
      </c>
      <c r="H8" s="765">
        <f>Berechnung!H11</f>
        <v>0</v>
      </c>
      <c r="I8" s="1502">
        <f>Berechnung!I11</f>
        <v>0</v>
      </c>
      <c r="J8" s="1503"/>
      <c r="K8" s="1503"/>
      <c r="L8" s="1503"/>
      <c r="M8" s="1503"/>
      <c r="N8" s="1503"/>
      <c r="O8" s="1503"/>
      <c r="P8" s="1503"/>
      <c r="Q8" s="1503"/>
      <c r="R8" s="1503"/>
      <c r="S8" s="1503"/>
      <c r="T8" s="1503"/>
      <c r="U8" s="1503"/>
      <c r="V8" s="1503"/>
      <c r="W8" s="1503"/>
      <c r="X8" s="1503"/>
      <c r="Y8" s="1503"/>
      <c r="Z8" s="1503"/>
      <c r="AA8" s="1503"/>
      <c r="AB8" s="1503"/>
      <c r="AC8" s="1503"/>
      <c r="AD8" s="1503"/>
      <c r="AE8" s="1503"/>
      <c r="AF8" s="1503"/>
      <c r="AG8" s="1503"/>
      <c r="AH8" s="1503"/>
      <c r="AI8" s="1503"/>
      <c r="AJ8" s="1503"/>
      <c r="AK8" s="1503"/>
      <c r="AL8" s="1503"/>
      <c r="AM8" s="1503"/>
      <c r="AN8" s="1503"/>
      <c r="AO8" s="1503"/>
      <c r="AP8" s="1503"/>
      <c r="AQ8" s="1503"/>
      <c r="AR8" s="1503"/>
      <c r="AS8" s="1503"/>
      <c r="AT8" s="1503"/>
      <c r="AU8" s="1503"/>
      <c r="AV8" s="1503"/>
      <c r="AW8" s="1503"/>
      <c r="AX8" s="1503"/>
      <c r="AY8" s="1503"/>
      <c r="AZ8" s="1503"/>
      <c r="BA8" s="1503"/>
      <c r="BB8" s="1503"/>
      <c r="BC8" s="1503"/>
      <c r="BD8" s="1503"/>
      <c r="BE8" s="1503"/>
      <c r="BF8" s="1503"/>
      <c r="BG8" s="1503"/>
      <c r="BH8" s="1503"/>
      <c r="BI8" s="1503"/>
      <c r="BJ8" s="1503"/>
      <c r="BK8" s="1503"/>
      <c r="BL8" s="1503"/>
    </row>
    <row r="9" spans="1:64" ht="54.95" customHeight="1">
      <c r="A9" s="1504" t="s">
        <v>2266</v>
      </c>
      <c r="B9" s="1505">
        <f>ROUND($A$38/2,0)</f>
        <v>205</v>
      </c>
      <c r="C9" s="1506"/>
      <c r="D9" s="1506"/>
      <c r="E9" s="1506"/>
      <c r="F9" s="1506"/>
      <c r="G9" s="1506"/>
      <c r="H9" s="1506"/>
      <c r="I9" s="1507"/>
    </row>
    <row r="10" spans="1:64" ht="39.950000000000003" customHeight="1">
      <c r="A10" s="1508" t="s">
        <v>2267</v>
      </c>
      <c r="B10" s="522"/>
      <c r="C10" s="765">
        <f>IF(Berechnung!C155+Berechnung!C158&gt;C8,C8,Berechnung!C155+Berechnung!C158)</f>
        <v>0</v>
      </c>
      <c r="D10" s="765">
        <f>IF(Berechnung!D155+Berechnung!D158&gt;D8,D8,Berechnung!D155+Berechnung!D158)</f>
        <v>0</v>
      </c>
      <c r="E10" s="765">
        <f>IF(Berechnung!E155+Berechnung!E158&gt;E8,E8,Berechnung!E155+Berechnung!E158)</f>
        <v>0</v>
      </c>
      <c r="F10" s="765">
        <f>IF(Berechnung!F155+Berechnung!F158&gt;F8,F8,Berechnung!F155+Berechnung!F158)</f>
        <v>0</v>
      </c>
      <c r="G10" s="765">
        <f>IF(Berechnung!G155+Berechnung!G158&gt;G8,G8,Berechnung!G155+Berechnung!G158)</f>
        <v>0</v>
      </c>
      <c r="H10" s="765">
        <f>IF(Berechnung!H155+Berechnung!H158&gt;H8,H8,Berechnung!H155+Berechnung!H158)</f>
        <v>0</v>
      </c>
      <c r="I10" s="1502">
        <f>IF(Berechnung!I155+Berechnung!I158&gt;I8,I8,Berechnung!I155+Berechnung!I158)</f>
        <v>0</v>
      </c>
    </row>
    <row r="11" spans="1:64" ht="30" customHeight="1">
      <c r="A11" s="1509" t="s">
        <v>2268</v>
      </c>
      <c r="B11" s="1510"/>
      <c r="C11" s="1511">
        <f t="shared" ref="C11:I11" si="0">IF(C10&gt;0,C10/C8,0)</f>
        <v>0</v>
      </c>
      <c r="D11" s="1511">
        <f t="shared" si="0"/>
        <v>0</v>
      </c>
      <c r="E11" s="1511">
        <f t="shared" si="0"/>
        <v>0</v>
      </c>
      <c r="F11" s="1511">
        <f t="shared" si="0"/>
        <v>0</v>
      </c>
      <c r="G11" s="1511">
        <f t="shared" si="0"/>
        <v>0</v>
      </c>
      <c r="H11" s="1511">
        <f t="shared" si="0"/>
        <v>0</v>
      </c>
      <c r="I11" s="1512">
        <f t="shared" si="0"/>
        <v>0</v>
      </c>
    </row>
    <row r="12" spans="1:64" ht="20.100000000000001" hidden="1" customHeight="1">
      <c r="A12" s="1513"/>
      <c r="B12" s="1413"/>
      <c r="C12" s="1514">
        <f t="shared" ref="C12:I12" si="1">C8*C11</f>
        <v>0</v>
      </c>
      <c r="D12" s="1514">
        <f t="shared" si="1"/>
        <v>0</v>
      </c>
      <c r="E12" s="1514">
        <f t="shared" si="1"/>
        <v>0</v>
      </c>
      <c r="F12" s="1514">
        <f t="shared" si="1"/>
        <v>0</v>
      </c>
      <c r="G12" s="1514">
        <f t="shared" si="1"/>
        <v>0</v>
      </c>
      <c r="H12" s="1514">
        <f t="shared" si="1"/>
        <v>0</v>
      </c>
      <c r="I12" s="1515">
        <f t="shared" si="1"/>
        <v>0</v>
      </c>
    </row>
    <row r="13" spans="1:64" ht="30" customHeight="1">
      <c r="A13" s="1513" t="s">
        <v>2269</v>
      </c>
      <c r="B13" s="1413"/>
      <c r="C13" s="1514">
        <f t="shared" ref="C13:I13" si="2">C8-C12</f>
        <v>449</v>
      </c>
      <c r="D13" s="1514">
        <f t="shared" si="2"/>
        <v>0</v>
      </c>
      <c r="E13" s="1514">
        <f t="shared" si="2"/>
        <v>0</v>
      </c>
      <c r="F13" s="1514">
        <f t="shared" si="2"/>
        <v>0</v>
      </c>
      <c r="G13" s="1514">
        <f t="shared" si="2"/>
        <v>0</v>
      </c>
      <c r="H13" s="1514">
        <f t="shared" si="2"/>
        <v>0</v>
      </c>
      <c r="I13" s="1515">
        <f t="shared" si="2"/>
        <v>0</v>
      </c>
    </row>
    <row r="14" spans="1:64" ht="30" hidden="1" customHeight="1">
      <c r="A14" s="1513"/>
      <c r="B14" s="1413"/>
      <c r="C14" s="1516">
        <f t="shared" ref="C14:I14" si="3">IF(C11&gt;0.3,0.3,0)</f>
        <v>0</v>
      </c>
      <c r="D14" s="1516">
        <f t="shared" si="3"/>
        <v>0</v>
      </c>
      <c r="E14" s="1516">
        <f t="shared" si="3"/>
        <v>0</v>
      </c>
      <c r="F14" s="1516">
        <f t="shared" si="3"/>
        <v>0</v>
      </c>
      <c r="G14" s="1516">
        <f t="shared" si="3"/>
        <v>0</v>
      </c>
      <c r="H14" s="1516">
        <f t="shared" si="3"/>
        <v>0</v>
      </c>
      <c r="I14" s="1517">
        <f t="shared" si="3"/>
        <v>0</v>
      </c>
    </row>
    <row r="15" spans="1:64" ht="30" customHeight="1">
      <c r="A15" s="1513" t="s">
        <v>2270</v>
      </c>
      <c r="B15" s="1413"/>
      <c r="C15" s="1511">
        <f t="shared" ref="C15:I15" si="4">IF(C11&gt;0.3,C11-C14,0)</f>
        <v>0</v>
      </c>
      <c r="D15" s="1511">
        <f t="shared" si="4"/>
        <v>0</v>
      </c>
      <c r="E15" s="1511">
        <f t="shared" si="4"/>
        <v>0</v>
      </c>
      <c r="F15" s="1511">
        <f t="shared" si="4"/>
        <v>0</v>
      </c>
      <c r="G15" s="1511">
        <f t="shared" si="4"/>
        <v>0</v>
      </c>
      <c r="H15" s="1511">
        <f t="shared" si="4"/>
        <v>0</v>
      </c>
      <c r="I15" s="1512">
        <f t="shared" si="4"/>
        <v>0</v>
      </c>
    </row>
    <row r="16" spans="1:64" ht="30" hidden="1" customHeight="1">
      <c r="A16" s="1513"/>
      <c r="B16" s="1413"/>
      <c r="C16" s="1514">
        <f t="shared" ref="C16:I16" si="5">IF(C15&lt;0,0,$A$38/2*C15)</f>
        <v>0</v>
      </c>
      <c r="D16" s="1514">
        <f t="shared" si="5"/>
        <v>0</v>
      </c>
      <c r="E16" s="1514">
        <f t="shared" si="5"/>
        <v>0</v>
      </c>
      <c r="F16" s="1514">
        <f t="shared" si="5"/>
        <v>0</v>
      </c>
      <c r="G16" s="1514">
        <f t="shared" si="5"/>
        <v>0</v>
      </c>
      <c r="H16" s="1514">
        <f t="shared" si="5"/>
        <v>0</v>
      </c>
      <c r="I16" s="1515">
        <f t="shared" si="5"/>
        <v>0</v>
      </c>
    </row>
    <row r="17" spans="1:9" ht="30" customHeight="1">
      <c r="A17" s="1518" t="s">
        <v>2271</v>
      </c>
      <c r="B17" s="1519"/>
      <c r="C17" s="1520">
        <f t="shared" ref="C17:I17" si="6">ROUNDUP(C16,0)</f>
        <v>0</v>
      </c>
      <c r="D17" s="1520">
        <f t="shared" si="6"/>
        <v>0</v>
      </c>
      <c r="E17" s="1520">
        <f t="shared" si="6"/>
        <v>0</v>
      </c>
      <c r="F17" s="1520">
        <f t="shared" si="6"/>
        <v>0</v>
      </c>
      <c r="G17" s="1520">
        <f t="shared" si="6"/>
        <v>0</v>
      </c>
      <c r="H17" s="1520">
        <f t="shared" si="6"/>
        <v>0</v>
      </c>
      <c r="I17" s="1521">
        <f t="shared" si="6"/>
        <v>0</v>
      </c>
    </row>
    <row r="18" spans="1:9" ht="30" customHeight="1">
      <c r="A18" s="1513" t="s">
        <v>2272</v>
      </c>
      <c r="B18" s="1413"/>
      <c r="C18" s="1514">
        <f t="shared" ref="C18:I18" si="7">C13+C17</f>
        <v>449</v>
      </c>
      <c r="D18" s="1514">
        <f t="shared" si="7"/>
        <v>0</v>
      </c>
      <c r="E18" s="1514">
        <f t="shared" si="7"/>
        <v>0</v>
      </c>
      <c r="F18" s="1514">
        <f t="shared" si="7"/>
        <v>0</v>
      </c>
      <c r="G18" s="1514">
        <f t="shared" si="7"/>
        <v>0</v>
      </c>
      <c r="H18" s="1514">
        <f t="shared" si="7"/>
        <v>0</v>
      </c>
      <c r="I18" s="1515">
        <f t="shared" si="7"/>
        <v>0</v>
      </c>
    </row>
    <row r="19" spans="1:9" ht="35.1" customHeight="1">
      <c r="A19" s="1522" t="s">
        <v>2273</v>
      </c>
      <c r="B19" s="1413"/>
      <c r="C19" s="1514">
        <f t="shared" ref="C19:I19" si="8">IF(OR(C18=0,C18&gt;$A$38/2),0,$A$38/2-C18)</f>
        <v>0</v>
      </c>
      <c r="D19" s="1514">
        <f t="shared" si="8"/>
        <v>0</v>
      </c>
      <c r="E19" s="1514">
        <f t="shared" si="8"/>
        <v>0</v>
      </c>
      <c r="F19" s="1514">
        <f t="shared" si="8"/>
        <v>0</v>
      </c>
      <c r="G19" s="1514">
        <f t="shared" si="8"/>
        <v>0</v>
      </c>
      <c r="H19" s="1514">
        <f t="shared" si="8"/>
        <v>0</v>
      </c>
      <c r="I19" s="1515">
        <f t="shared" si="8"/>
        <v>0</v>
      </c>
    </row>
    <row r="20" spans="1:9" ht="30" hidden="1" customHeight="1">
      <c r="A20" s="1513"/>
      <c r="B20" s="1413"/>
      <c r="C20" s="1514">
        <f t="shared" ref="C20:I20" si="9">C17+C19</f>
        <v>0</v>
      </c>
      <c r="D20" s="1514">
        <f t="shared" si="9"/>
        <v>0</v>
      </c>
      <c r="E20" s="1514">
        <f t="shared" si="9"/>
        <v>0</v>
      </c>
      <c r="F20" s="1514">
        <f t="shared" si="9"/>
        <v>0</v>
      </c>
      <c r="G20" s="1514">
        <f t="shared" si="9"/>
        <v>0</v>
      </c>
      <c r="H20" s="1514">
        <f t="shared" si="9"/>
        <v>0</v>
      </c>
      <c r="I20" s="1515">
        <f t="shared" si="9"/>
        <v>0</v>
      </c>
    </row>
    <row r="21" spans="1:9" ht="50.1" customHeight="1">
      <c r="A21" s="1523" t="s">
        <v>2274</v>
      </c>
      <c r="B21" s="1524">
        <f>SUM(C21:I21)</f>
        <v>0</v>
      </c>
      <c r="C21" s="1525">
        <f t="shared" ref="C21:I21" si="10">ROUNDUP(C20,0)</f>
        <v>0</v>
      </c>
      <c r="D21" s="1525">
        <f t="shared" si="10"/>
        <v>0</v>
      </c>
      <c r="E21" s="1525">
        <f t="shared" si="10"/>
        <v>0</v>
      </c>
      <c r="F21" s="1525">
        <f t="shared" si="10"/>
        <v>0</v>
      </c>
      <c r="G21" s="1525">
        <f t="shared" si="10"/>
        <v>0</v>
      </c>
      <c r="H21" s="1525">
        <f t="shared" si="10"/>
        <v>0</v>
      </c>
      <c r="I21" s="1526">
        <f t="shared" si="10"/>
        <v>0</v>
      </c>
    </row>
    <row r="22" spans="1:9" ht="50.1" customHeight="1">
      <c r="A22" s="1527">
        <f>IF(B5=1,"Gesamtgutscheinhöhe 5. und 6. Woche*",0)</f>
        <v>0</v>
      </c>
      <c r="B22" s="1528">
        <f>SUM(C22:I22)</f>
        <v>0</v>
      </c>
      <c r="C22" s="1529">
        <f t="shared" ref="C22:I22" si="11">IF($B$5=1,ROUNDUP(C21/30*$G$5,0),0)</f>
        <v>0</v>
      </c>
      <c r="D22" s="1529">
        <f t="shared" si="11"/>
        <v>0</v>
      </c>
      <c r="E22" s="1529">
        <f t="shared" si="11"/>
        <v>0</v>
      </c>
      <c r="F22" s="1529">
        <f t="shared" si="11"/>
        <v>0</v>
      </c>
      <c r="G22" s="1529">
        <f t="shared" si="11"/>
        <v>0</v>
      </c>
      <c r="H22" s="1529">
        <f t="shared" si="11"/>
        <v>0</v>
      </c>
      <c r="I22" s="1530">
        <f t="shared" si="11"/>
        <v>0</v>
      </c>
    </row>
    <row r="23" spans="1:9" ht="35.1" customHeight="1">
      <c r="A23" s="1531"/>
      <c r="B23" s="1532"/>
      <c r="C23" s="1533"/>
      <c r="D23" s="1533"/>
      <c r="E23" s="1533"/>
      <c r="F23" s="1533"/>
      <c r="G23" s="1533"/>
      <c r="H23" s="1533"/>
      <c r="I23" s="1533"/>
    </row>
    <row r="24" spans="1:9" ht="50.1" customHeight="1">
      <c r="A24" s="1534" t="s">
        <v>2275</v>
      </c>
      <c r="B24" s="1994">
        <f>IF(AND(B21&gt;0,Zusatzeingaben!B7&gt;0),"Lebensmittelgutschein von Amts wegen",IF(B21&gt;0,"Lebensmittelgutschein auf Antrag",0))</f>
        <v>0</v>
      </c>
      <c r="C24" s="1994"/>
      <c r="D24" s="1994"/>
      <c r="E24" s="1533"/>
      <c r="F24" s="1533"/>
      <c r="G24" s="1533"/>
      <c r="H24" s="1533"/>
      <c r="I24" s="1533"/>
    </row>
    <row r="25" spans="1:9" ht="20.100000000000001" customHeight="1"/>
    <row r="26" spans="1:9" ht="20.100000000000001" customHeight="1">
      <c r="A26" s="1535" t="s">
        <v>2276</v>
      </c>
    </row>
    <row r="29" spans="1:9" ht="15.75">
      <c r="C29" s="317"/>
      <c r="D29" s="317"/>
      <c r="E29" s="317"/>
      <c r="F29" s="317"/>
    </row>
    <row r="30" spans="1:9" ht="20.100000000000001" customHeight="1">
      <c r="A30" s="1536" t="s">
        <v>2277</v>
      </c>
      <c r="B30" s="1537">
        <f ca="1">TODAY()</f>
        <v>44774</v>
      </c>
      <c r="C30" s="317"/>
      <c r="F30" s="317"/>
    </row>
    <row r="31" spans="1:9" ht="20.100000000000001" customHeight="1">
      <c r="A31" s="317"/>
      <c r="B31" s="317"/>
      <c r="C31" s="317"/>
      <c r="F31" s="317"/>
    </row>
    <row r="32" spans="1:9" ht="20.100000000000001" customHeight="1">
      <c r="A32" s="317" t="s">
        <v>2278</v>
      </c>
      <c r="B32" s="317"/>
      <c r="C32" s="317"/>
      <c r="F32" s="317"/>
    </row>
    <row r="33" spans="1:6" ht="20.100000000000001" customHeight="1">
      <c r="A33" s="1538"/>
      <c r="B33" s="1538"/>
      <c r="C33" s="1538"/>
      <c r="F33" s="317"/>
    </row>
    <row r="38" spans="1:6">
      <c r="A38" s="1539">
        <f>VLOOKUP(E3,Bedarfssätze!B7:C17,2)</f>
        <v>409</v>
      </c>
    </row>
  </sheetData>
  <sheetProtection sheet="1" objects="1" scenarios="1"/>
  <mergeCells count="3">
    <mergeCell ref="A2:I2"/>
    <mergeCell ref="B3:C3"/>
    <mergeCell ref="B24:D24"/>
  </mergeCells>
  <conditionalFormatting sqref="B11:B20">
    <cfRule type="cellIs" dxfId="138" priority="2" operator="equal">
      <formula>0</formula>
    </cfRule>
  </conditionalFormatting>
  <conditionalFormatting sqref="B24">
    <cfRule type="cellIs" dxfId="137" priority="3" operator="notEqual">
      <formula>0</formula>
    </cfRule>
  </conditionalFormatting>
  <conditionalFormatting sqref="B23">
    <cfRule type="cellIs" dxfId="136" priority="4" operator="greaterThan">
      <formula>0</formula>
    </cfRule>
  </conditionalFormatting>
  <conditionalFormatting sqref="B3:C3">
    <cfRule type="cellIs" dxfId="135" priority="5" operator="equal">
      <formula>0</formula>
    </cfRule>
  </conditionalFormatting>
  <conditionalFormatting sqref="C23:I23 E24:I24">
    <cfRule type="cellIs" dxfId="134" priority="6" operator="greaterThan">
      <formula>0</formula>
    </cfRule>
  </conditionalFormatting>
  <conditionalFormatting sqref="A22:I22">
    <cfRule type="cellIs" dxfId="133" priority="7" operator="greaterThan">
      <formula>0</formula>
    </cfRule>
  </conditionalFormatting>
  <pageMargins left="0.70833333333333304" right="0.31527777777777799" top="0.59027777777777801" bottom="0.78749999999999998"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dimension ref="A2:BL59"/>
  <sheetViews>
    <sheetView showGridLines="0" zoomScale="120" zoomScaleNormal="120" workbookViewId="0">
      <selection activeCell="C8" sqref="C8"/>
    </sheetView>
  </sheetViews>
  <sheetFormatPr baseColWidth="10" defaultColWidth="11.5703125" defaultRowHeight="15.75"/>
  <cols>
    <col min="1" max="1" width="49.42578125" style="317" customWidth="1"/>
    <col min="2" max="2" width="10" style="317" customWidth="1"/>
    <col min="3" max="7" width="15.85546875" style="317" customWidth="1"/>
    <col min="8" max="64" width="11.42578125" style="317" customWidth="1"/>
  </cols>
  <sheetData>
    <row r="2" spans="1:7" ht="28.5" customHeight="1">
      <c r="A2" s="1995" t="s">
        <v>2279</v>
      </c>
      <c r="B2" s="1995"/>
      <c r="C2" s="1995"/>
      <c r="D2" s="1995"/>
      <c r="E2" s="1995"/>
      <c r="F2" s="1995"/>
      <c r="G2" s="1995"/>
    </row>
    <row r="3" spans="1:7">
      <c r="A3" s="400"/>
      <c r="B3" s="393"/>
      <c r="C3" s="393"/>
      <c r="D3" s="393"/>
      <c r="E3" s="393"/>
      <c r="F3" s="393"/>
      <c r="G3" s="461"/>
    </row>
    <row r="4" spans="1:7" ht="18">
      <c r="A4" s="806" t="s">
        <v>138</v>
      </c>
      <c r="B4" s="1983">
        <f>Zusatzeingaben!B2</f>
        <v>0</v>
      </c>
      <c r="C4" s="1983"/>
      <c r="D4" s="807" t="s">
        <v>139</v>
      </c>
      <c r="E4" s="824">
        <f>Zusatzeingaben!E2</f>
        <v>44774</v>
      </c>
      <c r="F4" s="809" t="s">
        <v>2158</v>
      </c>
      <c r="G4" s="825">
        <f>Zusatzeingaben!F2</f>
        <v>44804</v>
      </c>
    </row>
    <row r="5" spans="1:7" ht="16.5">
      <c r="A5" s="833"/>
      <c r="B5" s="834"/>
      <c r="C5" s="834"/>
      <c r="D5" s="834"/>
      <c r="E5" s="834"/>
      <c r="F5" s="834"/>
      <c r="G5" s="835"/>
    </row>
    <row r="6" spans="1:7" ht="20.100000000000001" customHeight="1">
      <c r="A6" s="845"/>
      <c r="B6" s="846"/>
      <c r="C6" s="847" t="str">
        <f>Zusatzeingaben!C4</f>
        <v>Antragsteller</v>
      </c>
      <c r="D6" s="847" t="str">
        <f>Zusatzeingaben!D4</f>
        <v>Partner(in)</v>
      </c>
      <c r="E6" s="847" t="str">
        <f>Zusatzeingaben!E4</f>
        <v>Kind 1</v>
      </c>
      <c r="F6" s="847" t="s">
        <v>145</v>
      </c>
      <c r="G6" s="848" t="s">
        <v>146</v>
      </c>
    </row>
    <row r="7" spans="1:7" ht="20.100000000000001" customHeight="1">
      <c r="A7" s="863" t="s">
        <v>2159</v>
      </c>
      <c r="B7" s="864"/>
      <c r="C7" s="841">
        <f>Zusatzeingaben!C6</f>
        <v>0</v>
      </c>
      <c r="D7" s="841">
        <f>Zusatzeingaben!D6</f>
        <v>0</v>
      </c>
      <c r="E7" s="841">
        <f>Zusatzeingaben!E6</f>
        <v>0</v>
      </c>
      <c r="F7" s="841">
        <f>Zusatzeingaben!F6</f>
        <v>0</v>
      </c>
      <c r="G7" s="842">
        <f>Zusatzeingaben!G6</f>
        <v>0</v>
      </c>
    </row>
    <row r="8" spans="1:7" ht="20.100000000000001" customHeight="1">
      <c r="A8" s="877" t="s">
        <v>2161</v>
      </c>
      <c r="B8" s="878"/>
      <c r="C8" s="879">
        <f>Berechnung!C9</f>
        <v>0</v>
      </c>
      <c r="D8" s="879">
        <f>Berechnung!D9</f>
        <v>0</v>
      </c>
      <c r="E8" s="879">
        <f>Berechnung!E9</f>
        <v>0</v>
      </c>
      <c r="F8" s="879">
        <f>Berechnung!F9</f>
        <v>0</v>
      </c>
      <c r="G8" s="880">
        <f>Berechnung!G9</f>
        <v>0</v>
      </c>
    </row>
    <row r="9" spans="1:7" ht="20.100000000000001" customHeight="1">
      <c r="A9" s="863" t="s">
        <v>2162</v>
      </c>
      <c r="B9" s="889"/>
      <c r="C9" s="890" t="str">
        <f>Berechnung!C10</f>
        <v>ja</v>
      </c>
      <c r="D9" s="879">
        <f>Berechnung!D10</f>
        <v>0</v>
      </c>
      <c r="E9" s="879">
        <f>Berechnung!E10</f>
        <v>0</v>
      </c>
      <c r="F9" s="879">
        <f>Berechnung!F10</f>
        <v>0</v>
      </c>
      <c r="G9" s="880">
        <f>Berechnung!G10</f>
        <v>0</v>
      </c>
    </row>
    <row r="10" spans="1:7" ht="20.100000000000001" customHeight="1">
      <c r="A10" s="537" t="s">
        <v>24</v>
      </c>
      <c r="B10" s="348"/>
      <c r="C10" s="903" t="str">
        <f>Zusatzeingaben!C34</f>
        <v>ja</v>
      </c>
      <c r="D10" s="856" t="str">
        <f>Zusatzeingaben!D34</f>
        <v>ja</v>
      </c>
      <c r="E10" s="856" t="str">
        <f>Zusatzeingaben!E34</f>
        <v>ja</v>
      </c>
      <c r="F10" s="856" t="str">
        <f>Zusatzeingaben!F34</f>
        <v>ja</v>
      </c>
      <c r="G10" s="857" t="str">
        <f>Zusatzeingaben!G34</f>
        <v>ja</v>
      </c>
    </row>
    <row r="11" spans="1:7" ht="20.100000000000001" customHeight="1">
      <c r="A11" s="400"/>
      <c r="B11" s="393"/>
      <c r="C11" s="910"/>
      <c r="D11" s="910"/>
      <c r="E11" s="910"/>
      <c r="F11" s="910"/>
      <c r="G11" s="911"/>
    </row>
    <row r="12" spans="1:7" ht="24.75" customHeight="1">
      <c r="A12" s="920" t="s">
        <v>2280</v>
      </c>
      <c r="B12" s="921"/>
      <c r="C12" s="355"/>
      <c r="D12" s="355"/>
      <c r="E12" s="355"/>
      <c r="F12" s="355"/>
      <c r="G12" s="485"/>
    </row>
    <row r="13" spans="1:7" ht="20.100000000000001" customHeight="1">
      <c r="A13" s="927" t="s">
        <v>2281</v>
      </c>
      <c r="B13" s="506"/>
      <c r="C13" s="928"/>
      <c r="D13" s="928"/>
      <c r="E13" s="928"/>
      <c r="F13" s="928"/>
      <c r="G13" s="929"/>
    </row>
    <row r="14" spans="1:7" ht="20.100000000000001" customHeight="1">
      <c r="A14" s="933" t="s">
        <v>2282</v>
      </c>
      <c r="B14" s="934"/>
      <c r="C14" s="457"/>
      <c r="D14" s="935"/>
      <c r="E14" s="457"/>
      <c r="F14" s="457"/>
      <c r="G14" s="529"/>
    </row>
    <row r="15" spans="1:7" ht="20.100000000000001" customHeight="1">
      <c r="A15" s="939" t="s">
        <v>2283</v>
      </c>
      <c r="B15" s="940"/>
      <c r="C15" s="457"/>
      <c r="D15" s="457"/>
      <c r="E15" s="457"/>
      <c r="F15" s="457"/>
      <c r="G15" s="529"/>
    </row>
    <row r="16" spans="1:7" ht="20.100000000000001" hidden="1" customHeight="1">
      <c r="A16" s="939"/>
      <c r="B16" s="940"/>
      <c r="C16" s="942">
        <f>IF(C15&gt;0,C15,C14)</f>
        <v>0</v>
      </c>
      <c r="D16" s="942">
        <f>IF(D15&gt;0,D15,D14)</f>
        <v>0</v>
      </c>
      <c r="E16" s="942">
        <f>IF(E15&gt;0,E15,E14)</f>
        <v>0</v>
      </c>
      <c r="F16" s="942">
        <f>IF(F15&gt;0,F15,F14)</f>
        <v>0</v>
      </c>
      <c r="G16" s="943">
        <f>IF(G15&gt;0,G15,G14)</f>
        <v>0</v>
      </c>
    </row>
    <row r="17" spans="1:8" ht="20.100000000000001" hidden="1" customHeight="1">
      <c r="A17" s="939"/>
      <c r="B17" s="946">
        <f>SUM(C17:G17)</f>
        <v>0</v>
      </c>
      <c r="C17" s="942">
        <f>IF(C15&gt;0,MIN(C14/2,C15),C14/2)</f>
        <v>0</v>
      </c>
      <c r="D17" s="942">
        <f>IF(D15&gt;0,MIN(D14/2,D15),D14/2)</f>
        <v>0</v>
      </c>
      <c r="E17" s="942">
        <f>IF(E15&gt;0,MIN(E14/2,E15),E14/2)</f>
        <v>0</v>
      </c>
      <c r="F17" s="942">
        <f>IF(F15&gt;0,MIN(F14/2,F15),F14/2)</f>
        <v>0</v>
      </c>
      <c r="G17" s="942">
        <f>IF(G15&gt;0,MIN(G14/2,G15),G14/2)</f>
        <v>0</v>
      </c>
    </row>
    <row r="18" spans="1:8" ht="20.100000000000001" hidden="1" customHeight="1">
      <c r="A18" s="939"/>
      <c r="B18" s="940"/>
      <c r="C18" s="949">
        <f>IF(C19&gt;0,MIN(VLOOKUP($E$4,Bedarfssätze!$B$132:$H$136,7),C19),0)</f>
        <v>0</v>
      </c>
      <c r="D18" s="949">
        <f>IF(D19&gt;0,MIN(VLOOKUP($E$4,Bedarfssätze!$B$132:$H$136,7),D19),0)</f>
        <v>0</v>
      </c>
      <c r="E18" s="949">
        <f>IF(E19&gt;0,MIN(VLOOKUP($E$4,Bedarfssätze!$B$132:$H$136,7),E19),0)</f>
        <v>0</v>
      </c>
      <c r="F18" s="949">
        <f>IF(F19&gt;0,MIN(VLOOKUP($E$4,Bedarfssätze!$B$132:$H$136,7),F19),0)</f>
        <v>0</v>
      </c>
      <c r="G18" s="949">
        <f>IF(G19&gt;0,MIN(VLOOKUP($E$4,Bedarfssätze!$B$132:$H$136,7),G19),0)</f>
        <v>0</v>
      </c>
    </row>
    <row r="19" spans="1:8" ht="20.100000000000001" customHeight="1">
      <c r="A19" s="954" t="s">
        <v>2284</v>
      </c>
      <c r="B19" s="955">
        <f>SUM(C19:G19)</f>
        <v>0</v>
      </c>
      <c r="C19" s="482"/>
      <c r="D19" s="482"/>
      <c r="E19" s="482"/>
      <c r="F19" s="482"/>
      <c r="G19" s="532"/>
    </row>
    <row r="20" spans="1:8" ht="20.100000000000001" customHeight="1">
      <c r="A20" s="963"/>
      <c r="B20" s="964"/>
      <c r="C20" s="549"/>
      <c r="D20" s="549"/>
      <c r="E20" s="549"/>
      <c r="F20" s="549"/>
      <c r="G20" s="550"/>
      <c r="H20" s="393"/>
    </row>
    <row r="21" spans="1:8" ht="20.100000000000001" customHeight="1">
      <c r="A21" s="967" t="s">
        <v>2285</v>
      </c>
      <c r="B21" s="968"/>
      <c r="C21" s="1985" t="s">
        <v>2286</v>
      </c>
      <c r="D21" s="1985"/>
      <c r="E21" s="1985"/>
      <c r="F21" s="1985"/>
      <c r="G21" s="1985"/>
      <c r="H21" s="393"/>
    </row>
    <row r="22" spans="1:8" ht="20.100000000000001" customHeight="1">
      <c r="A22" s="1540" t="s">
        <v>2287</v>
      </c>
      <c r="B22" s="934"/>
      <c r="C22" s="457"/>
      <c r="D22" s="457"/>
      <c r="E22" s="457"/>
      <c r="F22" s="457"/>
      <c r="G22" s="529"/>
      <c r="H22" s="393"/>
    </row>
    <row r="23" spans="1:8" ht="20.100000000000001" customHeight="1">
      <c r="A23" s="1540" t="s">
        <v>2288</v>
      </c>
      <c r="B23" s="934"/>
      <c r="C23" s="457"/>
      <c r="D23" s="457"/>
      <c r="E23" s="457"/>
      <c r="F23" s="457"/>
      <c r="G23" s="529"/>
    </row>
    <row r="24" spans="1:8" ht="20.100000000000001" customHeight="1">
      <c r="A24" s="971" t="s">
        <v>2289</v>
      </c>
      <c r="B24" s="534"/>
      <c r="C24" s="457"/>
      <c r="D24" s="457"/>
      <c r="E24" s="457"/>
      <c r="F24" s="457"/>
      <c r="G24" s="529"/>
    </row>
    <row r="25" spans="1:8" ht="20.100000000000001" customHeight="1">
      <c r="A25" s="933" t="s">
        <v>2290</v>
      </c>
      <c r="B25" s="934"/>
      <c r="C25" s="457"/>
      <c r="D25" s="457"/>
      <c r="E25" s="457"/>
      <c r="F25" s="457"/>
      <c r="G25" s="529"/>
    </row>
    <row r="26" spans="1:8" ht="20.100000000000001" customHeight="1">
      <c r="A26" s="954" t="s">
        <v>2291</v>
      </c>
      <c r="B26" s="574"/>
      <c r="C26" s="482"/>
      <c r="D26" s="482"/>
      <c r="E26" s="482"/>
      <c r="F26" s="482"/>
      <c r="G26" s="532"/>
    </row>
    <row r="27" spans="1:8" ht="20.100000000000001" hidden="1" customHeight="1">
      <c r="A27" s="981"/>
      <c r="B27" s="982">
        <f>SUM(C27:G27)</f>
        <v>0</v>
      </c>
      <c r="C27" s="983">
        <f>C17+C19+C49+C50+C56</f>
        <v>0</v>
      </c>
      <c r="D27" s="983">
        <f>D17+D19+D49+D50+D56</f>
        <v>0</v>
      </c>
      <c r="E27" s="983">
        <f>E17+E19+E49+E50+E56</f>
        <v>0</v>
      </c>
      <c r="F27" s="983">
        <f>F17+F19+F49+F50+F56</f>
        <v>0</v>
      </c>
      <c r="G27" s="983">
        <f>G17+G19+G49+G50+G56</f>
        <v>0</v>
      </c>
    </row>
    <row r="28" spans="1:8" ht="50.1" customHeight="1"/>
    <row r="29" spans="1:8" ht="25.5">
      <c r="A29" s="1979" t="s">
        <v>2292</v>
      </c>
      <c r="B29" s="1979"/>
      <c r="C29" s="1979"/>
      <c r="D29" s="1979"/>
      <c r="E29" s="1979"/>
      <c r="F29" s="1979"/>
      <c r="G29" s="1979"/>
    </row>
    <row r="30" spans="1:8" ht="20.100000000000001" customHeight="1">
      <c r="A30" s="987"/>
      <c r="B30" s="988"/>
      <c r="C30" s="989" t="str">
        <f>Zusatzeingaben!C4</f>
        <v>Antragsteller</v>
      </c>
      <c r="D30" s="989" t="str">
        <f>Zusatzeingaben!D4</f>
        <v>Partner(in)</v>
      </c>
      <c r="E30" s="989" t="str">
        <f>Zusatzeingaben!E4</f>
        <v>Kind 1</v>
      </c>
      <c r="F30" s="989" t="s">
        <v>145</v>
      </c>
      <c r="G30" s="990" t="s">
        <v>146</v>
      </c>
    </row>
    <row r="31" spans="1:8" ht="20.100000000000001" customHeight="1">
      <c r="A31" s="994" t="s">
        <v>2281</v>
      </c>
      <c r="B31" s="995"/>
      <c r="C31" s="996"/>
      <c r="D31" s="997"/>
      <c r="E31" s="997"/>
      <c r="F31" s="997"/>
      <c r="G31" s="998"/>
    </row>
    <row r="32" spans="1:8" ht="20.100000000000001" customHeight="1">
      <c r="A32" s="999">
        <f>IF(B32&gt;0,"Bescheinigung Hilfebedürftigkeit für PKV",0)</f>
        <v>0</v>
      </c>
      <c r="B32" s="1000">
        <f>COUNTIF(C32:G32,"halber Basistarif")</f>
        <v>0</v>
      </c>
      <c r="C32" s="1001">
        <f>IF(AND(OR(C15=0,C15&gt;C14/2),C16&gt;0,C17&lt;=Z!$B$149*-1),"halber Basistarif",0)</f>
        <v>0</v>
      </c>
      <c r="D32" s="1001">
        <f>IF(AND(OR(D15=0,D15&gt;D14/2),D16&gt;0,D17&lt;=Z!$B$149*-1),"halber Basistarif",0)</f>
        <v>0</v>
      </c>
      <c r="E32" s="1001">
        <f>IF(AND(OR(E15=0,E15&gt;E14/2),E16&gt;0,E17&lt;=Z!$B$149*-1),"halber Basistarif",0)</f>
        <v>0</v>
      </c>
      <c r="F32" s="1001">
        <f>IF(AND(OR(F15=0,F15&gt;F14/2),F16&gt;0,F17&lt;=Z!$B$149*-1),"halber Basistarif",0)</f>
        <v>0</v>
      </c>
      <c r="G32" s="1002">
        <f>IF(AND(OR(G15=0,G15&gt;G14/2),G16&gt;0,G17&lt;=Z!$B$149*-1),"halber Basistarif",0)</f>
        <v>0</v>
      </c>
    </row>
    <row r="33" spans="1:8" ht="20.100000000000001" customHeight="1">
      <c r="A33" s="1006" t="s">
        <v>2293</v>
      </c>
      <c r="B33" s="1007"/>
      <c r="C33" s="1008">
        <f>IF(Z!$B$149*-1&lt;$B$17,C14/2,0)</f>
        <v>0</v>
      </c>
      <c r="D33" s="1008">
        <f>IF(Z!$B$149*-1&lt;$B$17,D14/2,0)</f>
        <v>0</v>
      </c>
      <c r="E33" s="1008">
        <f>IF(Z!$B$149*-1&lt;$B$17,E14/2,0)</f>
        <v>0</v>
      </c>
      <c r="F33" s="1008">
        <f>IF(Z!$B$149*-1&lt;$B$17,F14/2,0)</f>
        <v>0</v>
      </c>
      <c r="G33" s="1009">
        <f>IF(Z!$B$149*-1&lt;$B$17,G14/2,0)</f>
        <v>0</v>
      </c>
    </row>
    <row r="34" spans="1:8" ht="20.100000000000001" customHeight="1">
      <c r="A34" s="863" t="s">
        <v>2283</v>
      </c>
      <c r="B34" s="518"/>
      <c r="C34" s="1008">
        <f>IF(Z!$B$149*-1&lt;$B$17,C15,0)</f>
        <v>0</v>
      </c>
      <c r="D34" s="1008">
        <f>IF(Z!$B$149*-1&lt;$B$17,D15,0)</f>
        <v>0</v>
      </c>
      <c r="E34" s="1008">
        <f>IF(Z!$B$149*-1&lt;$B$17,E15,0)</f>
        <v>0</v>
      </c>
      <c r="F34" s="1008">
        <f>IF(Z!$B$149*-1&lt;$B$17,F15,0)</f>
        <v>0</v>
      </c>
      <c r="G34" s="1009">
        <f>IF(Z!$B$149*-1&lt;$B$17,G15,0)</f>
        <v>0</v>
      </c>
    </row>
    <row r="35" spans="1:8" ht="20.100000000000001" customHeight="1">
      <c r="A35" s="863" t="s">
        <v>2294</v>
      </c>
      <c r="B35" s="1015">
        <f>COUNTIF(C35:G35,"&gt;0")</f>
        <v>0</v>
      </c>
      <c r="C35" s="1016">
        <f>IF(AND(C34&gt;0,C34&lt;C33),C34,C33)</f>
        <v>0</v>
      </c>
      <c r="D35" s="1016">
        <f>IF(AND(D34&gt;0,D34&lt;D33),D34,D33)</f>
        <v>0</v>
      </c>
      <c r="E35" s="1016">
        <f>IF(AND(E34&gt;0,E34&lt;E33),E34,E33)</f>
        <v>0</v>
      </c>
      <c r="F35" s="1016">
        <f>IF(AND(F34&gt;0,F34&lt;F33),F34,F33)</f>
        <v>0</v>
      </c>
      <c r="G35" s="1017">
        <f>IF(AND(G34&gt;0,G34&lt;G33),G34,G33)</f>
        <v>0</v>
      </c>
    </row>
    <row r="36" spans="1:8" ht="20.100000000000001" customHeight="1">
      <c r="A36" s="863">
        <f>IF(B36&gt;0,"Einkommensüberschuss",0)</f>
        <v>0</v>
      </c>
      <c r="B36" s="1015">
        <f>COUNTIF(C36:G36,"&gt;0")</f>
        <v>0</v>
      </c>
      <c r="C36" s="1016">
        <f>IF(AND(C17&gt;0,$B$35=1,Z!$B$149&lt;0),Z!$B$149*-1,IF(AND(C17&gt;0,$B$35&gt;1,Z!$B$149&lt;0),Z!C149*-1,0))</f>
        <v>0</v>
      </c>
      <c r="D36" s="1016">
        <f>IF(AND(D17&gt;0,$B$35=1,Z!$B$149&lt;0),Z!$B$149*-1,IF(AND(D17&gt;0,$B$35&gt;1,Z!$B$149&lt;0),Z!D149*-1,0))</f>
        <v>0</v>
      </c>
      <c r="E36" s="1016">
        <f>IF(AND(E17&gt;0,$B$35=1,Z!$B$149&lt;0),Z!$B$149*-1,IF(AND(E17&gt;0,$B$35&gt;1,Z!$B$149&lt;0),Z!E149*-1,0))</f>
        <v>0</v>
      </c>
      <c r="F36" s="1016">
        <f>IF(AND(F17&gt;0,$B$35=1,Z!$B$149&lt;0),Z!$B$149*-1,IF(AND(F17&gt;0,$B$35&gt;1,Z!$B$149&lt;0),Z!F149*-1,0))</f>
        <v>0</v>
      </c>
      <c r="G36" s="1017">
        <f>IF(AND(G17&gt;0,$B$35=1,Z!$B$149&lt;0),Z!$B$149*-1,IF(AND(G17&gt;0,$B$35&gt;1,Z!$B$149&lt;0),Z!G149*-1,0))</f>
        <v>0</v>
      </c>
    </row>
    <row r="37" spans="1:8" ht="24.95" customHeight="1">
      <c r="A37" s="1019" t="s">
        <v>2295</v>
      </c>
      <c r="B37" s="1015"/>
      <c r="C37" s="1020">
        <f>IF(AND(C17&gt;0,C9="nein"),"nein",IF(C36&gt;0,C35-C36,C35))</f>
        <v>0</v>
      </c>
      <c r="D37" s="1020">
        <f>IF(AND(D17&gt;0,D9="nein"),"nein",IF(D36&gt;0,D35-D36,D35))</f>
        <v>0</v>
      </c>
      <c r="E37" s="1020">
        <f>IF(AND(E17&gt;0,E9="nein"),"nein",IF(E36&gt;0,E35-E36,E35))</f>
        <v>0</v>
      </c>
      <c r="F37" s="1020">
        <f>IF(AND(F17&gt;0,F9="nein"),"nein",IF(F36&gt;0,F35-F36,F35))</f>
        <v>0</v>
      </c>
      <c r="G37" s="1021">
        <f>IF(AND(G17&gt;0,G9="nein"),"nein",IF(G36&gt;0,G35-G36,G35))</f>
        <v>0</v>
      </c>
    </row>
    <row r="38" spans="1:8" ht="20.100000000000001" customHeight="1">
      <c r="A38" s="400"/>
      <c r="B38" s="1026"/>
      <c r="C38" s="1027"/>
      <c r="D38" s="1027"/>
      <c r="E38" s="1027"/>
      <c r="F38" s="1027"/>
      <c r="G38" s="1028"/>
      <c r="H38" s="393"/>
    </row>
    <row r="39" spans="1:8" ht="20.100000000000001" customHeight="1">
      <c r="A39" s="1033" t="s">
        <v>2296</v>
      </c>
      <c r="B39" s="1034"/>
      <c r="C39" s="1035"/>
      <c r="D39" s="1035"/>
      <c r="E39" s="1035"/>
      <c r="F39" s="1035"/>
      <c r="G39" s="1036"/>
    </row>
    <row r="40" spans="1:8" ht="20.100000000000001" customHeight="1">
      <c r="A40" s="933" t="s">
        <v>2297</v>
      </c>
      <c r="B40" s="1015"/>
      <c r="C40" s="1016">
        <f>IF(AND(C19&gt;0,Z!$B$149*-1&lt;$B$17+$B$19),VLOOKUP($E$4,Bedarfssätze!$B$132:$H$136,7),0)</f>
        <v>0</v>
      </c>
      <c r="D40" s="1016">
        <f>IF(AND(D19&gt;0,Z!$B$149*-1&lt;$B$17+$B$19),VLOOKUP($E$4,Bedarfssätze!$B$132:$H$136,7),0)</f>
        <v>0</v>
      </c>
      <c r="E40" s="1016">
        <f>IF(AND(E19&gt;0,Z!$B$149*-1&lt;$B$17+$B$19),VLOOKUP($E$4,Bedarfssätze!$B$132:$H$136,7),0)</f>
        <v>0</v>
      </c>
      <c r="F40" s="1016">
        <f>IF(AND(F19&gt;0,Z!$B$149*-1&lt;$B$17+$B$19),VLOOKUP($E$4,Bedarfssätze!$B$132:$H$136,7),0)</f>
        <v>0</v>
      </c>
      <c r="G40" s="1017">
        <f>IF(AND(G19&gt;0,Z!$B$149*-1&lt;$B$17+$B$19),VLOOKUP($E$4,Bedarfssätze!$B$132:$H$136,7),0)</f>
        <v>0</v>
      </c>
    </row>
    <row r="41" spans="1:8" ht="20.100000000000001" customHeight="1">
      <c r="A41" s="933" t="s">
        <v>2298</v>
      </c>
      <c r="B41" s="1015"/>
      <c r="C41" s="1016">
        <f>IF(Z!$B$149*-1&lt;$B$17+$B$19,C19,0)</f>
        <v>0</v>
      </c>
      <c r="D41" s="1016">
        <f>IF(Z!$B$149*-1&lt;$B$17+$B$19,D19,0)</f>
        <v>0</v>
      </c>
      <c r="E41" s="1016">
        <f>IF(Z!$B$149*-1&lt;$B$17+$B$19,E19,0)</f>
        <v>0</v>
      </c>
      <c r="F41" s="1016">
        <f>IF(Z!$B$149*-1&lt;$B$17+$B$19,F19,0)</f>
        <v>0</v>
      </c>
      <c r="G41" s="1017">
        <f>IF(Z!$B$149*-1&lt;$B$17+$B$19,G19,0)</f>
        <v>0</v>
      </c>
    </row>
    <row r="42" spans="1:8" ht="20.100000000000001" customHeight="1">
      <c r="A42" s="933" t="s">
        <v>2294</v>
      </c>
      <c r="B42" s="1015">
        <f>COUNTIF(C42:G42,"&gt;0")</f>
        <v>0</v>
      </c>
      <c r="C42" s="1016">
        <f>MIN(C40,C41)</f>
        <v>0</v>
      </c>
      <c r="D42" s="1016">
        <f>MIN(D40,D41)</f>
        <v>0</v>
      </c>
      <c r="E42" s="1016">
        <f>MIN(E40,E41)</f>
        <v>0</v>
      </c>
      <c r="F42" s="1016">
        <f>MIN(F40,F41)</f>
        <v>0</v>
      </c>
      <c r="G42" s="1017">
        <f>MIN(G40,G41)</f>
        <v>0</v>
      </c>
    </row>
    <row r="43" spans="1:8" ht="20.100000000000001" hidden="1" customHeight="1">
      <c r="A43" s="1038">
        <f>IF(B43&gt;0,"Einkommensüberschuss",0)</f>
        <v>0</v>
      </c>
      <c r="B43" s="1015">
        <f>COUNTIF(C43:G43,"&gt;0")</f>
        <v>0</v>
      </c>
      <c r="C43" s="1016">
        <f>IF(AND(C19&gt;0,$B$42=1,Z!$B$149&lt;0,Z!C149*-1&lt;&gt;C36),Z!$B$149*-1-C17,IF(AND(C19&gt;0,$B$42&gt;1,Z!$B$149&lt;0,Z!C149*-1&lt;&gt;C36),Z!C149*-1-C17,0))</f>
        <v>0</v>
      </c>
      <c r="D43" s="1016">
        <f>IF(AND(D19&gt;0,$B$42=1,Z!$B$149&lt;0,Z!D149*-1&lt;&gt;D36),Z!$B$149*-1-D17,IF(AND(D19&gt;0,$B$42&gt;1,Z!$B$149&lt;0,Z!D149*-1&lt;&gt;D36),Z!D149*-1-D17,0))</f>
        <v>0</v>
      </c>
      <c r="E43" s="1016">
        <f>IF(AND(E19&gt;0,$B$42=1,Z!$B$149&lt;0,Z!E149*-1&lt;&gt;E36),Z!$B$149*-1-E17,IF(AND(E19&gt;0,$B$42&gt;1,Z!$B$149&lt;0,Z!E149*-1&lt;&gt;E36),Z!E149*-1-E17,0))</f>
        <v>0</v>
      </c>
      <c r="F43" s="1016">
        <f>IF(AND(F19&gt;0,$B$42=1,Z!$B$149&lt;0,Z!F149*-1&lt;&gt;F36),Z!$B$149*-1-F17,IF(AND(F19&gt;0,$B$42&gt;1,Z!$B$149&lt;0,Z!F149*-1&lt;&gt;F36),Z!F149*-1-F17,0))</f>
        <v>0</v>
      </c>
      <c r="G43" s="1017">
        <f>IF(AND(G19&gt;0,$B$42=1,Z!$B$149&lt;0,Z!G149*-1&lt;&gt;G36),Z!$B$149*-1-G17,IF(AND(G19&gt;0,$B$42&gt;1,Z!$B$149&lt;0,Z!G149*-1&lt;&gt;G36),Z!G149*-1-G17,0))</f>
        <v>0</v>
      </c>
    </row>
    <row r="44" spans="1:8" ht="20.100000000000001" customHeight="1">
      <c r="A44" s="1038">
        <f>IF(B44&gt;0,"Einkommensüberschuss",0)</f>
        <v>0</v>
      </c>
      <c r="B44" s="1015">
        <f>COUNTIF(C44:G44,"&gt;0")</f>
        <v>0</v>
      </c>
      <c r="C44" s="1039">
        <f>IF(C43&lt;0,0,C43)</f>
        <v>0</v>
      </c>
      <c r="D44" s="1039">
        <f>IF(D43&lt;0,0,D43)</f>
        <v>0</v>
      </c>
      <c r="E44" s="1039">
        <f>IF(E43&lt;0,0,E43)</f>
        <v>0</v>
      </c>
      <c r="F44" s="1039">
        <f>IF(F43&lt;0,0,F43)</f>
        <v>0</v>
      </c>
      <c r="G44" s="1040">
        <f>IF(G43&lt;0,0,G43)</f>
        <v>0</v>
      </c>
    </row>
    <row r="45" spans="1:8" ht="24.95" customHeight="1">
      <c r="A45" s="1041" t="s">
        <v>2299</v>
      </c>
      <c r="B45" s="1042"/>
      <c r="C45" s="1043">
        <f>IF(AND(C19&gt;0,C9="nein"),"nein",IF(C44&gt;0,C42-C44,C42))</f>
        <v>0</v>
      </c>
      <c r="D45" s="1043">
        <f>IF(AND(D19&gt;0,D9="nein"),"nein",IF(D44&gt;0,D42-D44,D42))</f>
        <v>0</v>
      </c>
      <c r="E45" s="1043">
        <f>IF(AND(E19&gt;0,E9="nein"),"nein",IF(E44&gt;0,E42-E44,E42))</f>
        <v>0</v>
      </c>
      <c r="F45" s="1043">
        <f>IF(AND(F19&gt;0,F9="nein"),"nein",IF(F44&gt;0,F42-F44,F42))</f>
        <v>0</v>
      </c>
      <c r="G45" s="1044">
        <f>IF(AND(G19&gt;0,G9="nein"),"nein",IF(G44&gt;0,G42-G44,G42))</f>
        <v>0</v>
      </c>
    </row>
    <row r="46" spans="1:8" ht="29.25" customHeight="1">
      <c r="A46" s="1541"/>
      <c r="B46" s="1049"/>
      <c r="C46" s="1976" t="s">
        <v>2300</v>
      </c>
      <c r="D46" s="1976"/>
      <c r="E46" s="1976"/>
      <c r="F46" s="1976"/>
      <c r="G46" s="1976"/>
      <c r="H46" s="393"/>
    </row>
    <row r="47" spans="1:8" ht="20.100000000000001" customHeight="1">
      <c r="A47" s="1054" t="s">
        <v>2285</v>
      </c>
      <c r="B47" s="1055"/>
      <c r="C47" s="1056"/>
      <c r="D47" s="1056"/>
      <c r="E47" s="1056"/>
      <c r="F47" s="1056"/>
      <c r="G47" s="1057"/>
    </row>
    <row r="48" spans="1:8" ht="20.100000000000001" customHeight="1">
      <c r="A48" s="1059">
        <f>IF(B48&gt;0,"Zuschuss nach § 26 nicht möglich, da ALG II Bezug",0)</f>
        <v>0</v>
      </c>
      <c r="B48" s="1060">
        <f>COUNTIF(C48:G48,"Hinweis")</f>
        <v>0</v>
      </c>
      <c r="C48" s="1061">
        <f>IF(AND(C22+C23&gt;0,Z!$B$149&gt;0,C10="ja"),"Hinweis",0)</f>
        <v>0</v>
      </c>
      <c r="D48" s="1061">
        <f>IF(AND(D22+D23&gt;0,Z!$B$149&gt;0,D10="ja"),"Hinweis",0)</f>
        <v>0</v>
      </c>
      <c r="E48" s="1061">
        <f>IF(AND(E22+E23&gt;0,Z!$B$149&gt;0,E10="ja"),"Hinweis",0)</f>
        <v>0</v>
      </c>
      <c r="F48" s="1061">
        <f>IF(AND(F22+F23&gt;0,Z!$B$149&gt;0,F10="ja"),"Hinweis",0)</f>
        <v>0</v>
      </c>
      <c r="G48" s="1062">
        <f>IF(AND(G22+G23&gt;0,Z!$B$149&gt;0,G10="ja"),"Hinweis",0)</f>
        <v>0</v>
      </c>
    </row>
    <row r="49" spans="1:7" ht="20.100000000000001" customHeight="1">
      <c r="A49" s="863" t="s">
        <v>2301</v>
      </c>
      <c r="B49" s="1015">
        <f>COUNTIF(C49:G49,"&gt;0")</f>
        <v>0</v>
      </c>
      <c r="C49" s="1016">
        <f>IF(C22&gt;0,C22-C24,0)</f>
        <v>0</v>
      </c>
      <c r="D49" s="1016">
        <f>IF(D22&gt;0,D22-D24,0)</f>
        <v>0</v>
      </c>
      <c r="E49" s="1016">
        <f>IF(E22&gt;0,E22-E24,0)</f>
        <v>0</v>
      </c>
      <c r="F49" s="1016">
        <f>IF(F22&gt;0,F22-F24,0)</f>
        <v>0</v>
      </c>
      <c r="G49" s="1017">
        <f>IF(G22&gt;0,G22-G24,0)</f>
        <v>0</v>
      </c>
    </row>
    <row r="50" spans="1:7" ht="20.100000000000001" customHeight="1">
      <c r="A50" s="863" t="s">
        <v>2302</v>
      </c>
      <c r="B50" s="1015">
        <f>COUNTIF(C50:G50,"&gt;0")</f>
        <v>0</v>
      </c>
      <c r="C50" s="1016">
        <f>IF(C23&gt;0,C23-C24,0)</f>
        <v>0</v>
      </c>
      <c r="D50" s="1016">
        <f>IF(D23&gt;0,D23-D24,0)</f>
        <v>0</v>
      </c>
      <c r="E50" s="1016">
        <f>IF(E23&gt;0,E23-E24,0)</f>
        <v>0</v>
      </c>
      <c r="F50" s="1016">
        <f>IF(F23&gt;0,F23-F24,0)</f>
        <v>0</v>
      </c>
      <c r="G50" s="1017">
        <f>IF(G23&gt;0,G23-G24,0)</f>
        <v>0</v>
      </c>
    </row>
    <row r="51" spans="1:7" ht="20.100000000000001" customHeight="1">
      <c r="A51" s="863">
        <f>IF(B51&gt;0,"./. vom Einkommen abzusetzender Betrag",0)</f>
        <v>0</v>
      </c>
      <c r="B51" s="1076">
        <f>SUM(C51:G51)</f>
        <v>0</v>
      </c>
      <c r="C51" s="522">
        <f>IF(AND(C50&gt;0,Z!$B$149&gt;0,Z!C70&gt;0),C50,IF(AND(Z!C70&gt;0,C50&gt;0,Z!$B$149&lt;0),MIN(Z!$B$149*-1-C57,C50),0))</f>
        <v>0</v>
      </c>
      <c r="D51" s="522">
        <f>IF(AND(D50&gt;0,Z!$B$149&gt;0,Z!D70&gt;0),D50,IF(AND(Z!D70&gt;0,D50&gt;0,Z!$B$149&lt;0),MIN(Z!$B$149*-1-D57,D50),0))</f>
        <v>0</v>
      </c>
      <c r="E51" s="522">
        <f>IF(AND(E50&gt;0,Z!$B$149&gt;0,Z!E70&gt;0),E50,IF(AND(Z!E70&gt;0,E50&gt;0,Z!$B$149&lt;0),MIN(Z!$B$149*-1-E57,E50),0))</f>
        <v>0</v>
      </c>
      <c r="F51" s="522">
        <f>IF(AND(F50&gt;0,Z!$B$149&gt;0,Z!F70&gt;0),F50,IF(AND(Z!F70&gt;0,F50&gt;0,Z!$B$149&lt;0),MIN(Z!$B$149*-1-F57,F50),0))</f>
        <v>0</v>
      </c>
      <c r="G51" s="523">
        <f>IF(AND(G50&gt;0,Z!$B$149&gt;0,Z!G70&gt;0),G50,IF(AND(Z!G70&gt;0,G50&gt;0,Z!$B$149&lt;0),MIN(Z!$B$149*-1-G57,G50),0))</f>
        <v>0</v>
      </c>
    </row>
    <row r="52" spans="1:7" ht="20.100000000000001" customHeight="1">
      <c r="A52" s="863">
        <f>IF(B52&gt;0,"./. Einkommensüberschuss",0)</f>
        <v>0</v>
      </c>
      <c r="B52" s="1076">
        <f>SUM(C52:G52)</f>
        <v>0</v>
      </c>
      <c r="C52" s="522">
        <f>IF(AND(C49+C50&gt;0,$B$49=1,Z!$B$149&lt;0,Z!$B$149*-1&gt;=$B$57),MIN(Z!$B$149*-1-C57,C49),IF(AND(C49+C50&gt;0,$B$49&gt;1,Z!$B$149&lt;0,Z!$B$149*-1&gt;=$B$57),MIN(Z!C149*-1-C57,C49),0))</f>
        <v>0</v>
      </c>
      <c r="D52" s="522">
        <f>IF(AND(D49+D50&gt;0,$B$49=1,Z!$B$149&lt;0,Z!$B$149*-1&gt;=$B$57),MIN(Z!$B$149*-1-D57,D49),IF(AND(D49+D50&gt;0,$B$49&gt;1,Z!$B$149&lt;0,Z!$B$149*-1&gt;=$B$57),MIN(Z!D149*-1-D57,D49),0))</f>
        <v>0</v>
      </c>
      <c r="E52" s="522">
        <f>IF(AND(E49+E50&gt;0,$B$49=1,Z!$B$149&lt;0,Z!$B$149*-1&gt;=$B$57),MIN(Z!$B$149*-1-E57,E49),IF(AND(E49+E50&gt;0,$B$49&gt;1,Z!$B$149&lt;0,Z!$B$149*-1&gt;=$B$57),MIN(Z!E149*-1-E57,E49),0))</f>
        <v>0</v>
      </c>
      <c r="F52" s="522">
        <f>IF(AND(F49+F50&gt;0,$B$49=1,Z!$B$149&lt;0,Z!$B$149*-1&gt;=$B$57),MIN(Z!$B$149*-1-F57,F49),IF(AND(F49+F50&gt;0,$B$49&gt;1,Z!$B$149&lt;0,Z!$B$149*-1&gt;=$B$57),MIN(Z!F149*-1-F57,F49),0))</f>
        <v>0</v>
      </c>
      <c r="G52" s="523">
        <f>IF(AND(G49+G50&gt;0,$B$49=1,Z!$B$149&lt;0,Z!$B$149*-1&gt;=$B$57),MIN(Z!$B$149*-1-G57,G49),IF(AND(G49+G50&gt;0,$B$49&gt;1,Z!$B$149&lt;0,Z!$B$149*-1&gt;=$B$57),MIN(Z!G149*-1-G57,G49),0))</f>
        <v>0</v>
      </c>
    </row>
    <row r="53" spans="1:7" ht="24.95" customHeight="1">
      <c r="A53" s="1081" t="s">
        <v>2303</v>
      </c>
      <c r="B53" s="1082"/>
      <c r="C53" s="1083">
        <f>IF(AND(C49+C50&gt;0,C9="nein"),"nein",IF(C48=0,C49+C50-C51-C52,0))</f>
        <v>0</v>
      </c>
      <c r="D53" s="1083">
        <f>IF(AND(D49+D50&gt;0,D9="nein"),"nein",IF(D48=0,D49+D50-D51-D52,0))</f>
        <v>0</v>
      </c>
      <c r="E53" s="1083">
        <f>IF(AND(E49+E50&gt;0,E9="nein"),"nein",IF(E48=0,E49+E50-E51-E52,0))</f>
        <v>0</v>
      </c>
      <c r="F53" s="1083">
        <f>IF(AND(F49+F50&gt;0,F9="nein"),"nein",IF(F48=0,F49+F50-F51-F52,0))</f>
        <v>0</v>
      </c>
      <c r="G53" s="1084">
        <f>IF(AND(G49+G50&gt;0,G9="nein"),"nein",IF(G48=0,G49+G50-G51-G52,0))</f>
        <v>0</v>
      </c>
    </row>
    <row r="54" spans="1:7" ht="20.100000000000001" customHeight="1">
      <c r="A54" s="1088">
        <f>IF(AND(B52&gt;0,Z!B149*-1&lt;&gt;B52),"Achtung: Einkommensüberschüsse überprüfen!",0)</f>
        <v>0</v>
      </c>
      <c r="B54" s="1089"/>
      <c r="C54" s="1542"/>
      <c r="D54" s="1542"/>
      <c r="E54" s="1542"/>
      <c r="F54" s="1542"/>
      <c r="G54" s="1543"/>
    </row>
    <row r="55" spans="1:7" ht="20.100000000000001" customHeight="1">
      <c r="A55" s="1098" t="s">
        <v>2304</v>
      </c>
      <c r="B55" s="1099"/>
      <c r="C55" s="1100"/>
      <c r="D55" s="1100"/>
      <c r="E55" s="1100"/>
      <c r="F55" s="1100"/>
      <c r="G55" s="1101"/>
    </row>
    <row r="56" spans="1:7" ht="20.100000000000001" customHeight="1">
      <c r="A56" s="933" t="s">
        <v>2305</v>
      </c>
      <c r="B56" s="1015">
        <f>COUNTIF(C56:G56,"&gt;0")</f>
        <v>0</v>
      </c>
      <c r="C56" s="1016">
        <f>C25-C26</f>
        <v>0</v>
      </c>
      <c r="D56" s="1016">
        <f>D25-D26</f>
        <v>0</v>
      </c>
      <c r="E56" s="1016">
        <f>E25-E26</f>
        <v>0</v>
      </c>
      <c r="F56" s="1016">
        <f>F25-F26</f>
        <v>0</v>
      </c>
      <c r="G56" s="1017">
        <f>G25-G26</f>
        <v>0</v>
      </c>
    </row>
    <row r="57" spans="1:7" ht="20.100000000000001" customHeight="1">
      <c r="A57" s="933">
        <f>IF(B57&gt;0,"./. vom Einkommen abzusetzender Betrag",0)</f>
        <v>0</v>
      </c>
      <c r="B57" s="1106">
        <f>SUM(C57:G57)</f>
        <v>0</v>
      </c>
      <c r="C57" s="1016">
        <f>IF(AND(Z!$B$149*-1&lt;$B$27,Z!C70&gt;0,Z!$B$149*-1-C51&lt;0),C56,IF(AND(Z!$B$149&lt;0,Z!C70&gt;0,Z!$B$149*-1-C51&gt;0),MIN(Z!$B$149*-1-C51,C56),0))</f>
        <v>0</v>
      </c>
      <c r="D57" s="1016">
        <f>IF(AND(Z!$B$149*-1&lt;$B$27,Z!D70&gt;0,Z!$B$149*-1-D51&lt;0),D56,IF(AND(Z!$B$149&lt;0,Z!D70&gt;0,Z!$B$149*-1-D51&gt;0),MIN(Z!$B$149*-1-D51,D56),0))</f>
        <v>0</v>
      </c>
      <c r="E57" s="1016">
        <f>IF(AND(Z!$B$149*-1&lt;$B$27,Z!E70&gt;0,Z!$B$149*-1-E51&lt;0),E56,IF(AND(Z!$B$149&lt;0,Z!E70&gt;0,Z!$B$149*-1-E51&gt;0),MIN(Z!$B$149*-1-E51,E56),0))</f>
        <v>0</v>
      </c>
      <c r="F57" s="1016">
        <f>IF(AND(Z!$B$149*-1&lt;$B$27,Z!F70&gt;0,Z!$B$149*-1-F51&lt;0),F56,IF(AND(Z!$B$149&lt;0,Z!F70&gt;0,Z!$B$149*-1-F51&gt;0),MIN(Z!$B$149*-1-F51,F56),0))</f>
        <v>0</v>
      </c>
      <c r="G57" s="1017">
        <f>IF(AND(Z!$B$149*-1&lt;$B$27,Z!G70&gt;0,Z!$B$149*-1-G51&lt;0),G56,IF(AND(Z!$B$149&lt;0,Z!G70&gt;0,Z!$B$149*-1-G51&gt;0),MIN(Z!$B$149*-1-G51,G56),0))</f>
        <v>0</v>
      </c>
    </row>
    <row r="58" spans="1:7" ht="20.100000000000001" customHeight="1">
      <c r="A58" s="863">
        <f>IF(B58&gt;0,"./. Einkommensüberschuss",0)</f>
        <v>0</v>
      </c>
      <c r="B58" s="1106">
        <f>SUM(C58:G58)</f>
        <v>0</v>
      </c>
      <c r="C58" s="1016">
        <f>IF(C56=C57,0,IF(AND($B$56=1,Z!$B$149&lt;0,Z!$B$149*-1&gt;$B$27),Z!$B$149*-1,IF(AND($B$56&gt;1,Z!$B$149&lt;0,Z!$B$149*-1&gt;$B$27),Z!C149*-1,0)))</f>
        <v>0</v>
      </c>
      <c r="D58" s="1016">
        <f>IF(D56=D57,0,IF(AND($B$56=1,Z!$B$149&lt;0,Z!$B$149*-1&gt;$B$27),Z!$B$149*-1,IF(AND($B$56&gt;1,Z!$B$149&lt;0,Z!$B$149*-1&gt;$B$27),Z!D149*-1,0)))</f>
        <v>0</v>
      </c>
      <c r="E58" s="1016">
        <f>IF(E56=E57,0,IF(AND($B$56=1,Z!$B$149&lt;0,Z!$B$149*-1&gt;$B$27),Z!$B$149*-1,IF(AND($B$56&gt;1,Z!$B$149&lt;0,Z!$B$149*-1&gt;$B$27),Z!E149*-1,0)))</f>
        <v>0</v>
      </c>
      <c r="F58" s="1016">
        <f>IF(F56=F57,0,IF(AND($B$56=1,Z!$B$149&lt;0,Z!$B$149*-1&gt;$B$27),Z!$B$149*-1,IF(AND($B$56&gt;1,Z!$B$149&lt;0,Z!$B$149*-1&gt;$B$27),Z!F149*-1,0)))</f>
        <v>0</v>
      </c>
      <c r="G58" s="1017">
        <f>IF(G56=G57,0,IF(AND($B$56=1,Z!$B$149&lt;0,Z!$B$149*-1&gt;$B$27),Z!$B$149*-1,IF(AND($B$56&gt;1,Z!$B$149&lt;0,Z!$B$149*-1&gt;$B$27),Z!G149*-1,0)))</f>
        <v>0</v>
      </c>
    </row>
    <row r="59" spans="1:7" ht="24.95" customHeight="1">
      <c r="A59" s="1041" t="s">
        <v>2306</v>
      </c>
      <c r="B59" s="1107"/>
      <c r="C59" s="1043">
        <f>IF(AND(C56&gt;0,C9="nein"),"nein",IF(OR(C48&lt;&gt;0,C56-C57-C58&lt;0),0,C56-C57-C58))</f>
        <v>0</v>
      </c>
      <c r="D59" s="1043">
        <f>IF(AND(D56&gt;0,D9="nein"),"nein",IF(OR(D48&lt;&gt;0,D56-D57-D58&lt;0),0,D56-D57-D58))</f>
        <v>0</v>
      </c>
      <c r="E59" s="1043">
        <f>IF(AND(E56&gt;0,E9="nein"),"nein",IF(OR(E48&lt;&gt;0,E56-E57-E58&lt;0),0,E56-E57-E58))</f>
        <v>0</v>
      </c>
      <c r="F59" s="1043">
        <f>IF(AND(F56&gt;0,F9="nein"),"nein",IF(OR(F48&lt;&gt;0,F56-F57-F58&lt;0),0,F56-F57-F58))</f>
        <v>0</v>
      </c>
      <c r="G59" s="1044">
        <f>IF(AND(G56&gt;0,G9="nein"),"nein",IF(OR(G48&lt;&gt;0,G56-G57-G58&lt;0),0,G56-G57-G58))</f>
        <v>0</v>
      </c>
    </row>
  </sheetData>
  <sheetProtection sheet="1" objects="1" scenarios="1"/>
  <mergeCells count="5">
    <mergeCell ref="A2:G2"/>
    <mergeCell ref="B4:C4"/>
    <mergeCell ref="C21:G21"/>
    <mergeCell ref="A29:G29"/>
    <mergeCell ref="C46:G46"/>
  </mergeCells>
  <conditionalFormatting sqref="A32">
    <cfRule type="cellIs" dxfId="132" priority="2" operator="equal">
      <formula>"Bescheinigung Hilfebedürftigkeit für PKV"</formula>
    </cfRule>
  </conditionalFormatting>
  <conditionalFormatting sqref="C54:G54">
    <cfRule type="cellIs" dxfId="131" priority="3" operator="equal">
      <formula>"Pflichtversicherung!"</formula>
    </cfRule>
  </conditionalFormatting>
  <conditionalFormatting sqref="A46">
    <cfRule type="cellIs" dxfId="130" priority="4" operator="equal">
      <formula>"Halbierung Höchstbeitrag durch PKV"</formula>
    </cfRule>
  </conditionalFormatting>
  <conditionalFormatting sqref="C32:G32">
    <cfRule type="cellIs" dxfId="129" priority="5" operator="notEqual">
      <formula>0</formula>
    </cfRule>
  </conditionalFormatting>
  <dataValidations count="3">
    <dataValidation type="decimal" operator="lessThanOrEqual" allowBlank="1" showInputMessage="1" showErrorMessage="1" error="Wert liegt über Höchstbetrag für 2017!" sqref="C14:G14">
      <formula1>682.95</formula1>
      <formula2>0</formula2>
    </dataValidation>
    <dataValidation type="decimal" operator="lessThanOrEqual" allowBlank="1" showInputMessage="1" showErrorMessage="1" error="Wert liegt über Höchstbeitrag für 2017!" sqref="C19:G19">
      <formula1>110.92</formula1>
      <formula2>0</formula2>
    </dataValidation>
    <dataValidation type="decimal" operator="lessThanOrEqual" allowBlank="1" showInputMessage="1" showErrorMessage="1" error="Handelt es sich tatsächlich um einen Pflichtbeitrag oder wird ein freiwilliger Beitrag zur GKV gezahlt?" sqref="C23:G23">
      <formula1>0</formula1>
      <formula2>0</formula2>
    </dataValidation>
  </dataValidations>
  <pageMargins left="0.905555555555556" right="0.118055555555556" top="0.59027777777777801" bottom="0.39374999999999999"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dimension ref="A1:BL239"/>
  <sheetViews>
    <sheetView showGridLines="0" zoomScale="120" zoomScaleNormal="120" workbookViewId="0">
      <selection activeCell="K15" sqref="K15"/>
    </sheetView>
  </sheetViews>
  <sheetFormatPr baseColWidth="10" defaultColWidth="11.5703125" defaultRowHeight="16.5"/>
  <cols>
    <col min="1" max="1" width="33.28515625" style="801" customWidth="1"/>
    <col min="2" max="2" width="16.7109375" style="801" customWidth="1"/>
    <col min="3" max="3" width="12.85546875" style="801" customWidth="1"/>
    <col min="4" max="6" width="13" style="801" customWidth="1"/>
    <col min="7" max="7" width="12.5703125" style="801" customWidth="1"/>
    <col min="8" max="8" width="12.7109375" style="801" customWidth="1"/>
    <col min="9" max="9" width="13.42578125" style="801" customWidth="1"/>
    <col min="10" max="64" width="11.42578125" style="801" customWidth="1"/>
  </cols>
  <sheetData>
    <row r="1" spans="1:11" ht="20.25" customHeight="1">
      <c r="H1" s="802" t="s">
        <v>2156</v>
      </c>
      <c r="I1" s="803">
        <f ca="1">TODAY()</f>
        <v>44774</v>
      </c>
    </row>
    <row r="2" spans="1:11" ht="36" customHeight="1">
      <c r="A2" s="1313"/>
      <c r="B2" s="1314" t="s">
        <v>2157</v>
      </c>
      <c r="C2" s="1315"/>
      <c r="D2" s="1316"/>
      <c r="E2" s="1317"/>
      <c r="F2" s="1317"/>
      <c r="G2" s="1317"/>
      <c r="H2" s="1317"/>
      <c r="I2" s="1318"/>
      <c r="J2" s="1268"/>
      <c r="K2" s="1268"/>
    </row>
    <row r="3" spans="1:11" ht="18.75">
      <c r="A3" s="806" t="s">
        <v>138</v>
      </c>
      <c r="B3" s="1990">
        <f>Zusatzeingaben!B2</f>
        <v>0</v>
      </c>
      <c r="C3" s="1990"/>
      <c r="D3" s="807" t="s">
        <v>139</v>
      </c>
      <c r="E3" s="813">
        <f>Zusatzeingaben!E2</f>
        <v>44774</v>
      </c>
      <c r="F3" s="809" t="s">
        <v>2158</v>
      </c>
      <c r="G3" s="814">
        <f>Zusatzeingaben!F2</f>
        <v>44804</v>
      </c>
      <c r="H3" s="811"/>
      <c r="I3" s="812"/>
      <c r="J3" s="1268"/>
      <c r="K3" s="1268"/>
    </row>
    <row r="4" spans="1:11" ht="15" customHeight="1">
      <c r="J4" s="1268"/>
      <c r="K4" s="1268"/>
    </row>
    <row r="5" spans="1:11" ht="23.25">
      <c r="A5" s="1319"/>
      <c r="B5" s="1320" t="s">
        <v>127</v>
      </c>
      <c r="C5" s="1316"/>
      <c r="D5" s="1316"/>
      <c r="E5" s="1316"/>
      <c r="F5" s="1316"/>
      <c r="G5" s="1316"/>
      <c r="H5" s="1316"/>
      <c r="I5" s="1321"/>
    </row>
    <row r="6" spans="1:11" ht="20.25" customHeight="1">
      <c r="A6" s="839"/>
      <c r="B6" s="1322" t="s">
        <v>246</v>
      </c>
      <c r="C6" s="1322" t="str">
        <f>Zusatzeingaben!C4</f>
        <v>Antragsteller</v>
      </c>
      <c r="D6" s="1322" t="str">
        <f>Zusatzeingaben!D4</f>
        <v>Partner(in)</v>
      </c>
      <c r="E6" s="1322" t="str">
        <f>Zusatzeingaben!E4</f>
        <v>Kind 1</v>
      </c>
      <c r="F6" s="1322" t="s">
        <v>145</v>
      </c>
      <c r="G6" s="1322" t="s">
        <v>146</v>
      </c>
      <c r="H6" s="1322" t="s">
        <v>147</v>
      </c>
      <c r="I6" s="1323" t="s">
        <v>148</v>
      </c>
    </row>
    <row r="7" spans="1:11">
      <c r="A7" s="839" t="s">
        <v>2159</v>
      </c>
      <c r="B7" s="1324">
        <f>Zusatzeingaben!B6</f>
        <v>1</v>
      </c>
      <c r="C7" s="841">
        <f>Zusatzeingaben!C6</f>
        <v>0</v>
      </c>
      <c r="D7" s="841">
        <f>Zusatzeingaben!D6</f>
        <v>0</v>
      </c>
      <c r="E7" s="841">
        <f>Zusatzeingaben!E6</f>
        <v>0</v>
      </c>
      <c r="F7" s="841">
        <f>Zusatzeingaben!F6</f>
        <v>0</v>
      </c>
      <c r="G7" s="841">
        <f>Zusatzeingaben!G6</f>
        <v>0</v>
      </c>
      <c r="H7" s="841">
        <f>Zusatzeingaben!H6</f>
        <v>0</v>
      </c>
      <c r="I7" s="842">
        <f>Zusatzeingaben!I6</f>
        <v>0</v>
      </c>
    </row>
    <row r="8" spans="1:11" hidden="1">
      <c r="A8" s="839" t="s">
        <v>2160</v>
      </c>
      <c r="B8" s="864"/>
      <c r="C8" s="1325" t="str">
        <f>Zusatzeingaben!E7</f>
        <v>nein</v>
      </c>
      <c r="D8" s="1325" t="str">
        <f>Zusatzeingaben!F7</f>
        <v>nein</v>
      </c>
      <c r="E8" s="1325"/>
      <c r="F8" s="1325"/>
      <c r="G8" s="1325"/>
      <c r="H8" s="1325"/>
      <c r="I8" s="1326"/>
    </row>
    <row r="9" spans="1:11">
      <c r="A9" s="839" t="s">
        <v>2161</v>
      </c>
      <c r="B9" s="889"/>
      <c r="C9" s="879">
        <f>Zusatzeingaben!C22</f>
        <v>0</v>
      </c>
      <c r="D9" s="879">
        <f>Zusatzeingaben!D22</f>
        <v>0</v>
      </c>
      <c r="E9" s="879">
        <f>IF(Zusatzeingaben!E16=0,Zusatzeingaben!E16,Zusatzeingaben!E22)</f>
        <v>0</v>
      </c>
      <c r="F9" s="879">
        <f>IF(Zusatzeingaben!F16=0,Zusatzeingaben!F16,Zusatzeingaben!F22)</f>
        <v>0</v>
      </c>
      <c r="G9" s="879">
        <f>IF(Zusatzeingaben!G16=0,Zusatzeingaben!G16,Zusatzeingaben!G22)</f>
        <v>0</v>
      </c>
      <c r="H9" s="879">
        <f>IF(Zusatzeingaben!H16=0,Zusatzeingaben!H16,Zusatzeingaben!H22)</f>
        <v>0</v>
      </c>
      <c r="I9" s="880">
        <f>IF(Zusatzeingaben!I16=0,Zusatzeingaben!I16,Zusatzeingaben!I22)</f>
        <v>0</v>
      </c>
    </row>
    <row r="10" spans="1:11">
      <c r="A10" s="854" t="s">
        <v>2162</v>
      </c>
      <c r="B10" s="1327"/>
      <c r="C10" s="1328" t="str">
        <f>Zusatzeingaben!C35</f>
        <v>ja</v>
      </c>
      <c r="D10" s="1328">
        <f>IF(Zusatzeingaben!D33&gt;0,Zusatzeingaben!D35,0)</f>
        <v>0</v>
      </c>
      <c r="E10" s="1328">
        <f>IF(Zusatzeingaben!E33&gt;0,Zusatzeingaben!E35,0)</f>
        <v>0</v>
      </c>
      <c r="F10" s="1328">
        <f>IF(Zusatzeingaben!F33&gt;0,Zusatzeingaben!F35,0)</f>
        <v>0</v>
      </c>
      <c r="G10" s="1328">
        <f>IF(Zusatzeingaben!G33&gt;0,Zusatzeingaben!G35,0)</f>
        <v>0</v>
      </c>
      <c r="H10" s="1328">
        <f>IF(Zusatzeingaben!H33&gt;0,Zusatzeingaben!H35,0)</f>
        <v>0</v>
      </c>
      <c r="I10" s="1329">
        <f>IF(Zusatzeingaben!I33&gt;0,Zusatzeingaben!I35,0)</f>
        <v>0</v>
      </c>
    </row>
    <row r="11" spans="1:11">
      <c r="A11" s="1330" t="s">
        <v>2163</v>
      </c>
      <c r="B11" s="1331">
        <f>SUM(C11:I11)</f>
        <v>449</v>
      </c>
      <c r="C11" s="1332">
        <f>Zusatzeingaben!C33</f>
        <v>449</v>
      </c>
      <c r="D11" s="1332">
        <f>Zusatzeingaben!D33</f>
        <v>0</v>
      </c>
      <c r="E11" s="1332">
        <f>Zusatzeingaben!E33</f>
        <v>0</v>
      </c>
      <c r="F11" s="1332">
        <f>Zusatzeingaben!F33</f>
        <v>0</v>
      </c>
      <c r="G11" s="1332">
        <f>Zusatzeingaben!G33</f>
        <v>0</v>
      </c>
      <c r="H11" s="1332">
        <f>Zusatzeingaben!H33</f>
        <v>0</v>
      </c>
      <c r="I11" s="1333">
        <f>Zusatzeingaben!I33</f>
        <v>0</v>
      </c>
    </row>
    <row r="12" spans="1:11">
      <c r="A12" s="1334" t="s">
        <v>2164</v>
      </c>
      <c r="B12" s="522"/>
      <c r="C12" s="1016"/>
      <c r="D12" s="1016"/>
      <c r="E12" s="1016"/>
      <c r="F12" s="1016"/>
      <c r="G12" s="1016"/>
      <c r="H12" s="1016"/>
      <c r="I12" s="1017"/>
    </row>
    <row r="13" spans="1:11">
      <c r="A13" s="976">
        <f>IF(B13&gt;0,"Schwangerschaft",0)</f>
        <v>0</v>
      </c>
      <c r="B13" s="1335">
        <f>SUM(C13:I13)</f>
        <v>0</v>
      </c>
      <c r="C13" s="522">
        <f>IF(OR(Zusatzeingaben!C37="",C10="nur Mehrbedarf"),0,Zusatzeingaben!C45)</f>
        <v>0</v>
      </c>
      <c r="D13" s="522">
        <f>IF(OR(Zusatzeingaben!D37="",D10="nur Mehrbedarf"),0,Zusatzeingaben!D45)</f>
        <v>0</v>
      </c>
      <c r="E13" s="522">
        <f>IF(Zusatzeingaben!E37="",0,Zusatzeingaben!E45)</f>
        <v>0</v>
      </c>
      <c r="F13" s="522"/>
      <c r="G13" s="522"/>
      <c r="H13" s="522"/>
      <c r="I13" s="523"/>
    </row>
    <row r="14" spans="1:11">
      <c r="A14" s="976">
        <f>IF(B14&gt;0,"Alleinerziehende",0)</f>
        <v>0</v>
      </c>
      <c r="B14" s="1335">
        <f>C14</f>
        <v>0</v>
      </c>
      <c r="C14" s="522">
        <f>IF(C10="nur Mehrbedarf",0,Zusatzeingaben!B46)</f>
        <v>0</v>
      </c>
      <c r="D14" s="522"/>
      <c r="E14" s="522"/>
      <c r="F14" s="522"/>
      <c r="G14" s="522"/>
      <c r="H14" s="522"/>
      <c r="I14" s="523"/>
    </row>
    <row r="15" spans="1:11">
      <c r="A15" s="976">
        <f>IF(B15&gt;0,"behinderter Mensch, Teilhabe",0)</f>
        <v>0</v>
      </c>
      <c r="B15" s="1335">
        <f>SUM(C15:I15)</f>
        <v>0</v>
      </c>
      <c r="C15" s="522">
        <f>IF(Zusatzeingaben!C34="ja",Zusatzeingaben!C92,0)</f>
        <v>0</v>
      </c>
      <c r="D15" s="522">
        <f>IF(Zusatzeingaben!D34="ja",Zusatzeingaben!D92,0)</f>
        <v>0</v>
      </c>
      <c r="E15" s="522">
        <f>IF(Zusatzeingaben!E34="ja",Zusatzeingaben!E92,0)</f>
        <v>0</v>
      </c>
      <c r="F15" s="522">
        <f>IF(Zusatzeingaben!F34="ja",Zusatzeingaben!F92,0)</f>
        <v>0</v>
      </c>
      <c r="G15" s="522">
        <f>IF(Zusatzeingaben!G34="ja",Zusatzeingaben!G92,0)</f>
        <v>0</v>
      </c>
      <c r="H15" s="522">
        <f>IF(Zusatzeingaben!H34="ja",Zusatzeingaben!H92,0)</f>
        <v>0</v>
      </c>
      <c r="I15" s="523">
        <f>IF(Zusatzeingaben!I34="ja",Zusatzeingaben!I92,0)</f>
        <v>0</v>
      </c>
    </row>
    <row r="16" spans="1:11">
      <c r="A16" s="976">
        <f>IF(B16&gt;0,"kostenaufwändige Ernährung",0)</f>
        <v>0</v>
      </c>
      <c r="B16" s="1335">
        <f>SUM(C16:I16)</f>
        <v>0</v>
      </c>
      <c r="C16" s="522">
        <f>IF(C10="nur Mehrbedarf",0,Zusatzeingaben!C93)</f>
        <v>0</v>
      </c>
      <c r="D16" s="522">
        <f>IF(D10="nur Mehrbedarf",0,Zusatzeingaben!D93)</f>
        <v>0</v>
      </c>
      <c r="E16" s="522">
        <f>Zusatzeingaben!E93</f>
        <v>0</v>
      </c>
      <c r="F16" s="522">
        <f>Zusatzeingaben!F93</f>
        <v>0</v>
      </c>
      <c r="G16" s="522">
        <f>Zusatzeingaben!G93</f>
        <v>0</v>
      </c>
      <c r="H16" s="522">
        <f>Zusatzeingaben!H93</f>
        <v>0</v>
      </c>
      <c r="I16" s="523">
        <f>Zusatzeingaben!I93</f>
        <v>0</v>
      </c>
    </row>
    <row r="17" spans="1:11">
      <c r="A17" s="976">
        <f>IF(B17&gt;0,"unabweisbarer, lfd., besond. Bedarf",0)</f>
        <v>0</v>
      </c>
      <c r="B17" s="1335">
        <f>SUM(C17:I17)</f>
        <v>0</v>
      </c>
      <c r="C17" s="522">
        <f>IF(C10="nur Mehrbedarf",0,Zusatzeingaben!C94)</f>
        <v>0</v>
      </c>
      <c r="D17" s="522">
        <f>IF(D10="nur Mehrbedarf",0,Zusatzeingaben!D94)</f>
        <v>0</v>
      </c>
      <c r="E17" s="522">
        <f>Zusatzeingaben!E94</f>
        <v>0</v>
      </c>
      <c r="F17" s="522">
        <f>Zusatzeingaben!F94</f>
        <v>0</v>
      </c>
      <c r="G17" s="522">
        <f>Zusatzeingaben!G94</f>
        <v>0</v>
      </c>
      <c r="H17" s="522">
        <f>Zusatzeingaben!H94</f>
        <v>0</v>
      </c>
      <c r="I17" s="523">
        <f>Zusatzeingaben!I94</f>
        <v>0</v>
      </c>
    </row>
    <row r="18" spans="1:11">
      <c r="A18" s="976">
        <f>IF(B18&gt;0,"Warmwasser dezentral",0)</f>
        <v>0</v>
      </c>
      <c r="B18" s="1335">
        <f>SUM(C18:I18)</f>
        <v>0</v>
      </c>
      <c r="C18" s="522">
        <f>Zusatzeingaben!C98</f>
        <v>0</v>
      </c>
      <c r="D18" s="522">
        <f>Zusatzeingaben!D98</f>
        <v>0</v>
      </c>
      <c r="E18" s="522">
        <f>Zusatzeingaben!E98</f>
        <v>0</v>
      </c>
      <c r="F18" s="522">
        <f>Zusatzeingaben!F98</f>
        <v>0</v>
      </c>
      <c r="G18" s="522">
        <f>Zusatzeingaben!G98</f>
        <v>0</v>
      </c>
      <c r="H18" s="522">
        <f>Zusatzeingaben!H98</f>
        <v>0</v>
      </c>
      <c r="I18" s="523">
        <f>Zusatzeingaben!I98</f>
        <v>0</v>
      </c>
    </row>
    <row r="19" spans="1:11">
      <c r="A19" s="976">
        <f>IF(B19&gt;0,"erwerbsunfähig, Merkzeichen G",0)</f>
        <v>0</v>
      </c>
      <c r="B19" s="1335">
        <f>SUM(C19:I19)</f>
        <v>0</v>
      </c>
      <c r="C19" s="522">
        <f>IF(Zusatzeingaben!C34="nein",Zusatzeingaben!C100,0)</f>
        <v>0</v>
      </c>
      <c r="D19" s="522">
        <f>IF(Zusatzeingaben!D34="nein",Zusatzeingaben!D100,0)</f>
        <v>0</v>
      </c>
      <c r="E19" s="522">
        <f>IF(Zusatzeingaben!E34="nein",Zusatzeingaben!E100,0)</f>
        <v>0</v>
      </c>
      <c r="F19" s="522">
        <f>IF(Zusatzeingaben!F34="nein",Zusatzeingaben!F100,0)</f>
        <v>0</v>
      </c>
      <c r="G19" s="522">
        <f>IF(Zusatzeingaben!G34="nein",Zusatzeingaben!G100,0)</f>
        <v>0</v>
      </c>
      <c r="H19" s="522">
        <f>IF(Zusatzeingaben!H34="nein",Zusatzeingaben!H100,0)</f>
        <v>0</v>
      </c>
      <c r="I19" s="523">
        <f>IF(Zusatzeingaben!I34="nein",Zusatzeingaben!I100,0)</f>
        <v>0</v>
      </c>
    </row>
    <row r="20" spans="1:11" ht="18" customHeight="1">
      <c r="A20" s="1336" t="s">
        <v>169</v>
      </c>
      <c r="B20" s="522"/>
      <c r="C20" s="518"/>
      <c r="D20" s="518"/>
      <c r="E20" s="518"/>
      <c r="F20" s="1016"/>
      <c r="G20" s="1016"/>
      <c r="H20" s="1016"/>
      <c r="I20" s="1017"/>
    </row>
    <row r="21" spans="1:11" hidden="1">
      <c r="A21" s="833"/>
      <c r="B21" s="522">
        <f>Zusatzeingaben!C102</f>
        <v>0</v>
      </c>
      <c r="C21" s="522">
        <f>B21/B7</f>
        <v>0</v>
      </c>
      <c r="D21" s="522">
        <f>IF(D9=0,0,B21/B7)</f>
        <v>0</v>
      </c>
      <c r="E21" s="522">
        <f>IF(Zusatzeingaben!E33=0,0,B21/B7)</f>
        <v>0</v>
      </c>
      <c r="F21" s="522">
        <f>IF(Zusatzeingaben!F33=0,0,B21/B7)</f>
        <v>0</v>
      </c>
      <c r="G21" s="522">
        <f>IF(Zusatzeingaben!G33=0,0,B21/B7)</f>
        <v>0</v>
      </c>
      <c r="H21" s="522">
        <f>IF(Zusatzeingaben!H33=0,0,B21/B7)</f>
        <v>0</v>
      </c>
      <c r="I21" s="523">
        <f>IF(Zusatzeingaben!I33=0,0,B21/B7)</f>
        <v>0</v>
      </c>
    </row>
    <row r="22" spans="1:11" hidden="1">
      <c r="A22" s="1337"/>
      <c r="B22" s="522">
        <f>SUM(C22:I22)</f>
        <v>0</v>
      </c>
      <c r="C22" s="522">
        <f>C21</f>
        <v>0</v>
      </c>
      <c r="D22" s="522">
        <f>D21</f>
        <v>0</v>
      </c>
      <c r="E22" s="522">
        <f>IF(Zusatzeingaben!E8&gt;Zusatzeingaben!E2,E21*Zusatzeingaben!E14/30,IF(Zusatzeingaben!E18=25,E21*Zusatzeingaben!E10/30,E21))</f>
        <v>0</v>
      </c>
      <c r="F22" s="522">
        <f>IF(Zusatzeingaben!F8&gt;Zusatzeingaben!E2,F21*Zusatzeingaben!F14/30,IF(Zusatzeingaben!F18=25,F21*Zusatzeingaben!F10/30,F21))</f>
        <v>0</v>
      </c>
      <c r="G22" s="522">
        <f>IF(Zusatzeingaben!G8&gt;Zusatzeingaben!E2,G21*Zusatzeingaben!G14/30,IF(Zusatzeingaben!G18=25,G21*Zusatzeingaben!G10/30,G21))</f>
        <v>0</v>
      </c>
      <c r="H22" s="522">
        <f>IF(Zusatzeingaben!H8&gt;Zusatzeingaben!E2,H21*Zusatzeingaben!H14/30,IF(Zusatzeingaben!H18=25,H21*Zusatzeingaben!H10/30,H21))</f>
        <v>0</v>
      </c>
      <c r="I22" s="523">
        <f>IF(Zusatzeingaben!I8&gt;Zusatzeingaben!E2,I21*Zusatzeingaben!I14/30,IF(Zusatzeingaben!I18=25,I21*Zusatzeingaben!I10/30,I21))</f>
        <v>0</v>
      </c>
      <c r="K22" s="1338">
        <f>COUNTIF(C22:I22,C22)</f>
        <v>7</v>
      </c>
    </row>
    <row r="23" spans="1:11" hidden="1">
      <c r="A23" s="833"/>
      <c r="B23" s="522">
        <f>SUM(C23:I23)</f>
        <v>0</v>
      </c>
      <c r="C23" s="522">
        <f>IF(AND(B22&lt;B21,C22=C21,C22&gt;0),C21+(B21-B22)/K22,C22)</f>
        <v>0</v>
      </c>
      <c r="D23" s="522">
        <f>IF(AND(B22&lt;B21,D22=D21,D22&gt;0),D21+(B21-B22)/K22,D22)</f>
        <v>0</v>
      </c>
      <c r="E23" s="522">
        <f>IF(AND(B22&lt;B21,E22=E21,E22&gt;0),E21+(B21-B22)/K22,E22)</f>
        <v>0</v>
      </c>
      <c r="F23" s="522">
        <f>IF(AND(B22&lt;B21,F22=F21,F22&gt;0),F21+(B21-B22)/K22,F22)</f>
        <v>0</v>
      </c>
      <c r="G23" s="522">
        <f>IF(AND(B22&lt;B21,G22=G21,G22&gt;0),G21+(B21-B22)/K22,G22)</f>
        <v>0</v>
      </c>
      <c r="H23" s="522">
        <f>IF(AND(B22&lt;B21,H22=H21,H22&gt;0),H21+(B21-B22)/K22,H22)</f>
        <v>0</v>
      </c>
      <c r="I23" s="523">
        <f>IF(AND(B22&lt;B21,I22=I21,I22&gt;0),I21+(B21-B22)/K22,I22)</f>
        <v>0</v>
      </c>
    </row>
    <row r="24" spans="1:11">
      <c r="A24" s="1339">
        <f>IF(B24&gt;0,Zusatzeingaben!A102,0)</f>
        <v>0</v>
      </c>
      <c r="B24" s="1335">
        <f>SUM(C24:I24)</f>
        <v>0</v>
      </c>
      <c r="C24" s="522">
        <f>IF(Zusatzeingaben!$K$18&gt;0,C22,C23)</f>
        <v>0</v>
      </c>
      <c r="D24" s="522">
        <f>IF(Zusatzeingaben!$K$18&gt;0,D22,D23)</f>
        <v>0</v>
      </c>
      <c r="E24" s="522">
        <f>IF(Zusatzeingaben!$K$18&gt;0,E22,E23)</f>
        <v>0</v>
      </c>
      <c r="F24" s="522">
        <f>IF(Zusatzeingaben!$K$18&gt;0,F22,F23)</f>
        <v>0</v>
      </c>
      <c r="G24" s="522">
        <f>IF(Zusatzeingaben!$K$18&gt;0,G22,G23)</f>
        <v>0</v>
      </c>
      <c r="H24" s="522">
        <f>IF(Zusatzeingaben!$K$18&gt;0,H22,H23)</f>
        <v>0</v>
      </c>
      <c r="I24" s="523">
        <f>IF(Zusatzeingaben!$K$18&gt;0,I22,I23)</f>
        <v>0</v>
      </c>
    </row>
    <row r="25" spans="1:11" hidden="1">
      <c r="A25" s="1340" t="str">
        <f>Zusatzeingaben!A103</f>
        <v>weitere Kosten</v>
      </c>
      <c r="B25" s="522">
        <f>Zusatzeingaben!C103</f>
        <v>0</v>
      </c>
      <c r="C25" s="522">
        <f>B25/B7</f>
        <v>0</v>
      </c>
      <c r="D25" s="522">
        <f>IF(D9="",0,B25/B7)</f>
        <v>0</v>
      </c>
      <c r="E25" s="522">
        <f>IF(E9="",0,B25/B7)</f>
        <v>0</v>
      </c>
      <c r="F25" s="522">
        <f>IF(F9="",0,B25/B7)</f>
        <v>0</v>
      </c>
      <c r="G25" s="522">
        <f>IF(G9="",0,B25/B7)</f>
        <v>0</v>
      </c>
      <c r="H25" s="522">
        <f>IF(H9="",0,B25/B7)</f>
        <v>0</v>
      </c>
      <c r="I25" s="523">
        <f>IF(I9="",0,B25/B7)</f>
        <v>0</v>
      </c>
    </row>
    <row r="26" spans="1:11" hidden="1">
      <c r="A26" s="1341"/>
      <c r="B26" s="522">
        <f>Zusatzeingaben!C104</f>
        <v>0</v>
      </c>
      <c r="C26" s="522">
        <f>B26/B7</f>
        <v>0</v>
      </c>
      <c r="D26" s="522">
        <f>IF(D9=0,0,B26/B7)</f>
        <v>0</v>
      </c>
      <c r="E26" s="522">
        <f>IF(Zusatzeingaben!E33=0,0,B26/B7)</f>
        <v>0</v>
      </c>
      <c r="F26" s="522">
        <f>IF(Zusatzeingaben!F33=0,0,B26/B7)</f>
        <v>0</v>
      </c>
      <c r="G26" s="522">
        <f>IF(Zusatzeingaben!G33=0,0,B26/B7)</f>
        <v>0</v>
      </c>
      <c r="H26" s="522">
        <f>IF(Zusatzeingaben!H33=0,0,B26/B7)</f>
        <v>0</v>
      </c>
      <c r="I26" s="523">
        <f>IF(Zusatzeingaben!I33=0,0,B26/B7)</f>
        <v>0</v>
      </c>
    </row>
    <row r="27" spans="1:11" hidden="1">
      <c r="A27" s="1339"/>
      <c r="B27" s="522">
        <f>SUM(C27:I27)</f>
        <v>0</v>
      </c>
      <c r="C27" s="522">
        <f>C26</f>
        <v>0</v>
      </c>
      <c r="D27" s="522">
        <f>D26</f>
        <v>0</v>
      </c>
      <c r="E27" s="522">
        <f>IF(Zusatzeingaben!E8&gt;Zusatzeingaben!E2,E26*Zusatzeingaben!E14/30,IF(Zusatzeingaben!E18=25,E26*Zusatzeingaben!E10/30,E26))</f>
        <v>0</v>
      </c>
      <c r="F27" s="522">
        <f>IF(Zusatzeingaben!F8&gt;Zusatzeingaben!E2,F26*Zusatzeingaben!F14/30,IF(Zusatzeingaben!F18=25,F26*Zusatzeingaben!F10/30,F26))</f>
        <v>0</v>
      </c>
      <c r="G27" s="522">
        <f>IF(Zusatzeingaben!G8&gt;Zusatzeingaben!E2,G26*Zusatzeingaben!G14/30,IF(Zusatzeingaben!G18=25,G26*Zusatzeingaben!G10/30,G26))</f>
        <v>0</v>
      </c>
      <c r="H27" s="522">
        <f>IF(Zusatzeingaben!H8&gt;Zusatzeingaben!E2,H26*Zusatzeingaben!H14/30,IF(Zusatzeingaben!H18=25,H26*Zusatzeingaben!H10/30,H26))</f>
        <v>0</v>
      </c>
      <c r="I27" s="523">
        <f>IF(Zusatzeingaben!I8&gt;Zusatzeingaben!E2,I26*Zusatzeingaben!I14/30,IF(Zusatzeingaben!I18=25,I26*Zusatzeingaben!I10/30,I26))</f>
        <v>0</v>
      </c>
      <c r="K27" s="1338">
        <f>COUNTIF(C27:I27,C27)</f>
        <v>7</v>
      </c>
    </row>
    <row r="28" spans="1:11" hidden="1">
      <c r="A28" s="1341"/>
      <c r="B28" s="522">
        <f>SUM(C28:I28)</f>
        <v>0</v>
      </c>
      <c r="C28" s="522">
        <f>IF(AND(B27&lt;B26,C27=C26,C27&gt;0),C26+(B26-B27)/K27,C27)</f>
        <v>0</v>
      </c>
      <c r="D28" s="522">
        <f>IF(AND(B27&lt;B26,D27=D26,D27&gt;0),D26+(B26-B27)/K27,D27)</f>
        <v>0</v>
      </c>
      <c r="E28" s="522">
        <f>IF(AND(B27&lt;B26,E27=E26,E27&gt;0),E26+(B26-B27)/K27,E27)</f>
        <v>0</v>
      </c>
      <c r="F28" s="522">
        <f>IF(AND(B27&lt;B26,F27=F26,F27&gt;0),F26+(B26-B27)/K27,F27)</f>
        <v>0</v>
      </c>
      <c r="G28" s="522">
        <f>IF(AND(B27&lt;B26,G27=G26,G27&gt;0),G26+(B26-B27)/K27,G27)</f>
        <v>0</v>
      </c>
      <c r="H28" s="522">
        <f>IF(AND(B27&lt;B26,H27=H26,H27&gt;0),H26+(B26-B27)/K27,H27)</f>
        <v>0</v>
      </c>
      <c r="I28" s="523">
        <f>IF(AND(B27&lt;B26,I27=I26,I27&gt;0),I26+(B26-B27)/K27,I27)</f>
        <v>0</v>
      </c>
    </row>
    <row r="29" spans="1:11">
      <c r="A29" s="1339">
        <f>IF(B29&gt;0,Zusatzeingaben!A104,0)</f>
        <v>0</v>
      </c>
      <c r="B29" s="1335">
        <f>SUM(C29:I29)</f>
        <v>0</v>
      </c>
      <c r="C29" s="522">
        <f>IF(Zusatzeingaben!$K$18&gt;0,C27,C28)</f>
        <v>0</v>
      </c>
      <c r="D29" s="522">
        <f>IF(Zusatzeingaben!$K$18&gt;0,D27,D28)</f>
        <v>0</v>
      </c>
      <c r="E29" s="522">
        <f>IF(Zusatzeingaben!$K$18&gt;0,E27,E28)</f>
        <v>0</v>
      </c>
      <c r="F29" s="522">
        <f>IF(Zusatzeingaben!$K$18&gt;0,F27,F28)</f>
        <v>0</v>
      </c>
      <c r="G29" s="522">
        <f>IF(Zusatzeingaben!$K$18&gt;0,G27,G28)</f>
        <v>0</v>
      </c>
      <c r="H29" s="522">
        <f>IF(Zusatzeingaben!$K$18&gt;0,H27,H28)</f>
        <v>0</v>
      </c>
      <c r="I29" s="523">
        <f>IF(Zusatzeingaben!$K$18&gt;0,I27,I28)</f>
        <v>0</v>
      </c>
    </row>
    <row r="30" spans="1:11" hidden="1">
      <c r="A30" s="1341"/>
      <c r="B30" s="522">
        <f>Zusatzeingaben!C105</f>
        <v>0</v>
      </c>
      <c r="C30" s="522">
        <f>B30/B7</f>
        <v>0</v>
      </c>
      <c r="D30" s="522">
        <f>IF(D9=0,0,B30/B7)</f>
        <v>0</v>
      </c>
      <c r="E30" s="522">
        <f>IF(Zusatzeingaben!E33=0,0,B30/B7)</f>
        <v>0</v>
      </c>
      <c r="F30" s="522">
        <f>IF(Zusatzeingaben!F33=0,0,B30/B7)</f>
        <v>0</v>
      </c>
      <c r="G30" s="522">
        <f>IF(Zusatzeingaben!G33=0,0,B30/B7)</f>
        <v>0</v>
      </c>
      <c r="H30" s="522">
        <f>IF(Zusatzeingaben!H33=0,0,B30/B7)</f>
        <v>0</v>
      </c>
      <c r="I30" s="523">
        <f>IF(Zusatzeingaben!I33=0,0,B30/B7)</f>
        <v>0</v>
      </c>
    </row>
    <row r="31" spans="1:11" hidden="1">
      <c r="A31" s="1339"/>
      <c r="B31" s="522">
        <f>SUM(C31:I31)</f>
        <v>0</v>
      </c>
      <c r="C31" s="522">
        <f>C30</f>
        <v>0</v>
      </c>
      <c r="D31" s="522">
        <f>D30</f>
        <v>0</v>
      </c>
      <c r="E31" s="522">
        <f>IF(Zusatzeingaben!E8&gt;Zusatzeingaben!E2,E30*Zusatzeingaben!E14/30,IF(Zusatzeingaben!E18=25,E30*Zusatzeingaben!E10/30,E30))</f>
        <v>0</v>
      </c>
      <c r="F31" s="522">
        <f>IF(Zusatzeingaben!F8&gt;Zusatzeingaben!E2,F30*Zusatzeingaben!F14/30,IF(Zusatzeingaben!F18=25,F30*Zusatzeingaben!F10/30,F30))</f>
        <v>0</v>
      </c>
      <c r="G31" s="522">
        <f>IF(Zusatzeingaben!G8&gt;Zusatzeingaben!E2,G30*Zusatzeingaben!G14/30,IF(Zusatzeingaben!G18=25,G30*Zusatzeingaben!G10/30,G30))</f>
        <v>0</v>
      </c>
      <c r="H31" s="522">
        <f>IF(Zusatzeingaben!H8&gt;Zusatzeingaben!E2,H30*Zusatzeingaben!H14/30,IF(Zusatzeingaben!H18=25,H30*Zusatzeingaben!H10/30,H30))</f>
        <v>0</v>
      </c>
      <c r="I31" s="523">
        <f>IF(Zusatzeingaben!I8&gt;Zusatzeingaben!E2,I30*Zusatzeingaben!I14/30,IF(Zusatzeingaben!I18=25,I30*Zusatzeingaben!I10/30,I30))</f>
        <v>0</v>
      </c>
      <c r="K31" s="1338">
        <f>COUNTIF(C31:I31,C31)</f>
        <v>7</v>
      </c>
    </row>
    <row r="32" spans="1:11" hidden="1">
      <c r="A32" s="1341"/>
      <c r="B32" s="522">
        <f>SUM(C32:I32)</f>
        <v>0</v>
      </c>
      <c r="C32" s="522">
        <f>IF(AND(B31&lt;B30,C31=C30,C31&gt;0),C30+(B30-B31)/K31,C31)</f>
        <v>0</v>
      </c>
      <c r="D32" s="522">
        <f>IF(AND(B31&lt;B30,D31=D30,D31&gt;0),D30+(B30-B31)/K31,D31)</f>
        <v>0</v>
      </c>
      <c r="E32" s="522">
        <f>IF(AND(B31&lt;B30,E31=E30,E31&gt;0),E30+(B30-B31)/K31,E31)</f>
        <v>0</v>
      </c>
      <c r="F32" s="522">
        <f>IF(AND(B31&lt;B30,F31=F30,F31&gt;0),F30+(B30-B31)/K31,F31)</f>
        <v>0</v>
      </c>
      <c r="G32" s="522">
        <f>IF(AND(B31&lt;B30,G31=G30,G31&gt;0),G30+(B30-B31)/K31,G31)</f>
        <v>0</v>
      </c>
      <c r="H32" s="522">
        <f>IF(AND(B31&lt;B30,H31=H30,H31&gt;0),H30+(B30-B31)/K31,H31)</f>
        <v>0</v>
      </c>
      <c r="I32" s="523">
        <f>IF(AND(B31&lt;B30,I31=I30,I31&gt;0),I30+(B30-B31)/K31,I31)</f>
        <v>0</v>
      </c>
    </row>
    <row r="33" spans="1:11">
      <c r="A33" s="1339">
        <f>IF(B33&gt;0,Zusatzeingaben!A105,0)</f>
        <v>0</v>
      </c>
      <c r="B33" s="1335">
        <f>SUM(C33:I33)</f>
        <v>0</v>
      </c>
      <c r="C33" s="522">
        <f>IF(Zusatzeingaben!$K$18&gt;0,C31,C32)</f>
        <v>0</v>
      </c>
      <c r="D33" s="522">
        <f>IF(Zusatzeingaben!$K$18&gt;0,D31,D32)</f>
        <v>0</v>
      </c>
      <c r="E33" s="522">
        <f>IF(Zusatzeingaben!$K$18&gt;0,E31,E32)</f>
        <v>0</v>
      </c>
      <c r="F33" s="522">
        <f>IF(Zusatzeingaben!$K$18&gt;0,F31,F32)</f>
        <v>0</v>
      </c>
      <c r="G33" s="522">
        <f>IF(Zusatzeingaben!$K$18&gt;0,G31,G32)</f>
        <v>0</v>
      </c>
      <c r="H33" s="522">
        <f>IF(Zusatzeingaben!$K$18&gt;0,H31,H32)</f>
        <v>0</v>
      </c>
      <c r="I33" s="523">
        <f>IF(Zusatzeingaben!$K$18&gt;0,I31,I32)</f>
        <v>0</v>
      </c>
    </row>
    <row r="34" spans="1:11" hidden="1">
      <c r="A34" s="1341"/>
      <c r="B34" s="522">
        <f>Zusatzeingaben!C106</f>
        <v>0</v>
      </c>
      <c r="C34" s="522">
        <f>B34/B7</f>
        <v>0</v>
      </c>
      <c r="D34" s="522">
        <f>IF(D9=0,0,B34/B7)</f>
        <v>0</v>
      </c>
      <c r="E34" s="522">
        <f>IF(Zusatzeingaben!E33=0,0,B34/B7)</f>
        <v>0</v>
      </c>
      <c r="F34" s="522">
        <f>IF(Zusatzeingaben!F33=0,0,B34/B7)</f>
        <v>0</v>
      </c>
      <c r="G34" s="522">
        <f>IF(Zusatzeingaben!G33=0,0,B34/B7)</f>
        <v>0</v>
      </c>
      <c r="H34" s="522">
        <f>IF(Zusatzeingaben!H33=0,0,B34/B7)</f>
        <v>0</v>
      </c>
      <c r="I34" s="523">
        <f>IF(Zusatzeingaben!I33=0,0,B34/B7)</f>
        <v>0</v>
      </c>
    </row>
    <row r="35" spans="1:11" hidden="1">
      <c r="A35" s="1339"/>
      <c r="B35" s="522">
        <f t="shared" ref="B35:B42" si="0">SUM(C35:I35)</f>
        <v>0</v>
      </c>
      <c r="C35" s="522">
        <f>C34</f>
        <v>0</v>
      </c>
      <c r="D35" s="522">
        <f>D34</f>
        <v>0</v>
      </c>
      <c r="E35" s="522">
        <f>IF(Zusatzeingaben!E8&gt;Zusatzeingaben!E2,E34*Zusatzeingaben!E14/30,IF(Zusatzeingaben!E18=25,E34*Zusatzeingaben!E10/30,E34))</f>
        <v>0</v>
      </c>
      <c r="F35" s="522">
        <f>IF(Zusatzeingaben!F8&gt;Zusatzeingaben!E2,F34*Zusatzeingaben!F14/30,IF(Zusatzeingaben!F18=25,F34*Zusatzeingaben!F10/30,F34))</f>
        <v>0</v>
      </c>
      <c r="G35" s="522">
        <f>IF(Zusatzeingaben!G8&gt;Zusatzeingaben!E2,G34*Zusatzeingaben!G14/30,IF(Zusatzeingaben!G18=25,G34*Zusatzeingaben!G10/30,G34))</f>
        <v>0</v>
      </c>
      <c r="H35" s="522">
        <f>IF(Zusatzeingaben!H8&gt;Zusatzeingaben!E2,H34*Zusatzeingaben!H14/30,IF(Zusatzeingaben!H18=25,H34*Zusatzeingaben!H10/30,H34))</f>
        <v>0</v>
      </c>
      <c r="I35" s="523">
        <f>IF(Zusatzeingaben!I8&gt;Zusatzeingaben!E2,I34*Zusatzeingaben!I14/30,IF(Zusatzeingaben!I18=25,I34*Zusatzeingaben!I10/30,I34))</f>
        <v>0</v>
      </c>
      <c r="K35" s="1338">
        <f>COUNTIF(C35:I35,C35)</f>
        <v>7</v>
      </c>
    </row>
    <row r="36" spans="1:11" hidden="1">
      <c r="A36" s="1341"/>
      <c r="B36" s="522">
        <f t="shared" si="0"/>
        <v>0</v>
      </c>
      <c r="C36" s="522">
        <f>IF(AND(B35&lt;B34,C35=C34,C35&gt;0),C34+(B34-B35)/K35,C35)</f>
        <v>0</v>
      </c>
      <c r="D36" s="522">
        <f>IF(AND(B35&lt;B34,D35=D34,D35&gt;0),D34+(B34-B35)/K35,D35)</f>
        <v>0</v>
      </c>
      <c r="E36" s="522">
        <f>IF(AND(B35&lt;B34,E35=E34,E35&gt;0),E34+(B34-B35)/K35,E35)</f>
        <v>0</v>
      </c>
      <c r="F36" s="522">
        <f>IF(AND(B35&lt;B34,F35=F34,F35&gt;0),F34+(B34-B35)/K35,F35)</f>
        <v>0</v>
      </c>
      <c r="G36" s="522">
        <f>IF(AND(B35&lt;B34,G35=G34,G35&gt;0),G34+(B34-B35)/K35,G35)</f>
        <v>0</v>
      </c>
      <c r="H36" s="522">
        <f>IF(AND(B35&lt;B34,H35=H34,H35&gt;0),H34+(B34-B35)/K35,H35)</f>
        <v>0</v>
      </c>
      <c r="I36" s="523">
        <f>IF(AND(B35&lt;B34,I35=I34,I35&gt;0),I34+(B34-B35)/K35,I35)</f>
        <v>0</v>
      </c>
    </row>
    <row r="37" spans="1:11">
      <c r="A37" s="1339">
        <f>IF(B37&gt;0,Zusatzeingaben!A106,0)</f>
        <v>0</v>
      </c>
      <c r="B37" s="1335">
        <f t="shared" si="0"/>
        <v>0</v>
      </c>
      <c r="C37" s="522">
        <f>IF(Zusatzeingaben!$K$18&gt;0,C35,C36)</f>
        <v>0</v>
      </c>
      <c r="D37" s="522">
        <f>IF(Zusatzeingaben!$K$18&gt;0,D35,D36)</f>
        <v>0</v>
      </c>
      <c r="E37" s="522">
        <f>IF(Zusatzeingaben!$K$18&gt;0,E35,E36)</f>
        <v>0</v>
      </c>
      <c r="F37" s="522">
        <f>IF(Zusatzeingaben!$K$18&gt;0,F35,F36)</f>
        <v>0</v>
      </c>
      <c r="G37" s="522">
        <f>IF(Zusatzeingaben!$K$18&gt;0,G35,G36)</f>
        <v>0</v>
      </c>
      <c r="H37" s="522">
        <f>IF(Zusatzeingaben!$K$18&gt;0,H35,H36)</f>
        <v>0</v>
      </c>
      <c r="I37" s="523">
        <f>IF(Zusatzeingaben!$K$18&gt;0,I35,I36)</f>
        <v>0</v>
      </c>
    </row>
    <row r="38" spans="1:11" hidden="1">
      <c r="A38" s="1339"/>
      <c r="B38" s="522">
        <f t="shared" si="0"/>
        <v>0</v>
      </c>
      <c r="C38" s="522">
        <f>Zusatzeingaben!C114</f>
        <v>0</v>
      </c>
      <c r="D38" s="522">
        <f>Zusatzeingaben!D114</f>
        <v>0</v>
      </c>
      <c r="E38" s="522">
        <f>Zusatzeingaben!E114</f>
        <v>0</v>
      </c>
      <c r="F38" s="522">
        <f>Zusatzeingaben!F114</f>
        <v>0</v>
      </c>
      <c r="G38" s="522">
        <f>Zusatzeingaben!G114</f>
        <v>0</v>
      </c>
      <c r="H38" s="522">
        <f>Zusatzeingaben!H114</f>
        <v>0</v>
      </c>
      <c r="I38" s="523">
        <f>Zusatzeingaben!I114</f>
        <v>0</v>
      </c>
    </row>
    <row r="39" spans="1:11" hidden="1">
      <c r="A39" s="1339"/>
      <c r="B39" s="522">
        <f t="shared" si="0"/>
        <v>0</v>
      </c>
      <c r="C39" s="522">
        <f>C38</f>
        <v>0</v>
      </c>
      <c r="D39" s="522">
        <f>D38</f>
        <v>0</v>
      </c>
      <c r="E39" s="522">
        <f>IF(Zusatzeingaben!E8&gt;Zusatzeingaben!$E$2,E38*Zusatzeingaben!E14/30,IF(Zusatzeingaben!E18=25,E38*Zusatzeingaben!E10/30,E38))</f>
        <v>0</v>
      </c>
      <c r="F39" s="522">
        <f>IF(Zusatzeingaben!F8&gt;Zusatzeingaben!$E$2,F38*Zusatzeingaben!F14/30,IF(Zusatzeingaben!F18=25,F38*Zusatzeingaben!F10/30,F38))</f>
        <v>0</v>
      </c>
      <c r="G39" s="522">
        <f>IF(Zusatzeingaben!G8&gt;Zusatzeingaben!$E$2,G38*Zusatzeingaben!G14/30,IF(Zusatzeingaben!G18=25,G38*Zusatzeingaben!G10/30,G38))</f>
        <v>0</v>
      </c>
      <c r="H39" s="522">
        <f>IF(Zusatzeingaben!H8&gt;Zusatzeingaben!$E$2,H38*Zusatzeingaben!H14/30,IF(Zusatzeingaben!H18=25,H38*Zusatzeingaben!H10/30,H38))</f>
        <v>0</v>
      </c>
      <c r="I39" s="523">
        <f>IF(Zusatzeingaben!I8&gt;Zusatzeingaben!$E$2,I38*Zusatzeingaben!I14/30,IF(Zusatzeingaben!I18=25,I38*Zusatzeingaben!I10/30,I38))</f>
        <v>0</v>
      </c>
      <c r="K39" s="1338">
        <f>COUNTIF(C39:I39,C39)</f>
        <v>7</v>
      </c>
    </row>
    <row r="40" spans="1:11" hidden="1">
      <c r="A40" s="1339"/>
      <c r="B40" s="522">
        <f t="shared" si="0"/>
        <v>0</v>
      </c>
      <c r="C40" s="522">
        <f>IF(AND(B39&lt;B38,C39=C38,C39&gt;0),C38+(B38-B39)/K39,C39)</f>
        <v>0</v>
      </c>
      <c r="D40" s="522">
        <f>IF(AND(B39&lt;B38,D39=D38,D39&gt;0),D38+(B38-B39)/K39,D39)</f>
        <v>0</v>
      </c>
      <c r="E40" s="522">
        <f>IF(AND(B39&lt;B38,E39=E38,E39&gt;0),E38+(B38-B39)/K39,E39)</f>
        <v>0</v>
      </c>
      <c r="F40" s="522">
        <f>IF(AND(B39&lt;B38,F39=F38,F39&gt;0),F38+(B38-B39)/K39,F39)</f>
        <v>0</v>
      </c>
      <c r="G40" s="522">
        <f>IF(AND(B39&lt;B38,G39=G38,G39&gt;0),G38+(B38-B39)/K39,G39)</f>
        <v>0</v>
      </c>
      <c r="H40" s="522">
        <f>IF(AND(B39&lt;B38,H39=H38,H39&gt;0),H38+(B38-B39)/K39,H39)</f>
        <v>0</v>
      </c>
      <c r="I40" s="523">
        <f>IF(AND(B39&lt;B38,I39=I38,I39&gt;0),I38+(B38-B39)/K39,I39)</f>
        <v>0</v>
      </c>
    </row>
    <row r="41" spans="1:11" hidden="1">
      <c r="A41" s="1341"/>
      <c r="B41" s="522">
        <f t="shared" si="0"/>
        <v>0</v>
      </c>
      <c r="C41" s="522">
        <f>IF(Zusatzeingaben!$B$107&gt;0,C40,Zusatzeingaben!C114)</f>
        <v>0</v>
      </c>
      <c r="D41" s="522">
        <f>IF(Zusatzeingaben!$B$107&gt;0,D40,Zusatzeingaben!D114)</f>
        <v>0</v>
      </c>
      <c r="E41" s="522">
        <f>IF(Zusatzeingaben!$B$107&gt;0,E40,Zusatzeingaben!E114)</f>
        <v>0</v>
      </c>
      <c r="F41" s="522">
        <f>IF(Zusatzeingaben!$B$107&gt;0,F40,Zusatzeingaben!F114)</f>
        <v>0</v>
      </c>
      <c r="G41" s="522">
        <f>IF(Zusatzeingaben!$B$107&gt;0,G40,Zusatzeingaben!G114)</f>
        <v>0</v>
      </c>
      <c r="H41" s="522">
        <f>IF(Zusatzeingaben!$B$107&gt;0,H40,Zusatzeingaben!H114)</f>
        <v>0</v>
      </c>
      <c r="I41" s="523">
        <f>IF(Zusatzeingaben!$B$107&gt;0,I40,Zusatzeingaben!I114)</f>
        <v>0</v>
      </c>
    </row>
    <row r="42" spans="1:11">
      <c r="A42" s="1339">
        <f>IF(B42&gt;0,"./. Kostenanteil für Haushaltsstrom",0)</f>
        <v>0</v>
      </c>
      <c r="B42" s="1335">
        <f t="shared" si="0"/>
        <v>0</v>
      </c>
      <c r="C42" s="522">
        <f>IF(AND(Zusatzeingaben!$K$18&gt;0,Zusatzeingaben!$B$107&gt;0),C39,C41)</f>
        <v>0</v>
      </c>
      <c r="D42" s="522">
        <f>IF(AND(Zusatzeingaben!$K$18&gt;0,Zusatzeingaben!$B$107&gt;0),D39,D41)</f>
        <v>0</v>
      </c>
      <c r="E42" s="522">
        <f>IF(AND(Zusatzeingaben!$K$18&gt;0,Zusatzeingaben!$B$107&gt;0),E39,E41)</f>
        <v>0</v>
      </c>
      <c r="F42" s="522">
        <f>IF(AND(Zusatzeingaben!$K$18&gt;0,Zusatzeingaben!$B$107&gt;0),F39,F41)</f>
        <v>0</v>
      </c>
      <c r="G42" s="522">
        <f>IF(AND(Zusatzeingaben!$K$18&gt;0,Zusatzeingaben!$B$107&gt;0),G39,G41)</f>
        <v>0</v>
      </c>
      <c r="H42" s="522">
        <f>IF(AND(Zusatzeingaben!$K$18&gt;0,Zusatzeingaben!$B$107&gt;0),H39,H41)</f>
        <v>0</v>
      </c>
      <c r="I42" s="523">
        <f>IF(AND(Zusatzeingaben!$K$18&gt;0,Zusatzeingaben!$B$107&gt;0),I39,I41)</f>
        <v>0</v>
      </c>
    </row>
    <row r="43" spans="1:11" hidden="1">
      <c r="A43" s="1341"/>
      <c r="B43" s="522">
        <f>Zusatzeingaben!C115</f>
        <v>0</v>
      </c>
      <c r="C43" s="522">
        <f>B43/B7</f>
        <v>0</v>
      </c>
      <c r="D43" s="522">
        <f>IF(D9=0,0,B43/B7)</f>
        <v>0</v>
      </c>
      <c r="E43" s="522">
        <f>IF(Zusatzeingaben!E33=0,0,B43/B7)</f>
        <v>0</v>
      </c>
      <c r="F43" s="522">
        <f>IF(Zusatzeingaben!F33=0,0,B43/B7)</f>
        <v>0</v>
      </c>
      <c r="G43" s="522">
        <f>IF(Zusatzeingaben!G33=0,0,B43/B7)</f>
        <v>0</v>
      </c>
      <c r="H43" s="522">
        <f>IF(Zusatzeingaben!H33=0,0,B43/B7)</f>
        <v>0</v>
      </c>
      <c r="I43" s="523">
        <f>IF(Zusatzeingaben!I33=0,0,B43/B7)</f>
        <v>0</v>
      </c>
    </row>
    <row r="44" spans="1:11" hidden="1">
      <c r="A44" s="1339"/>
      <c r="B44" s="522">
        <f>SUM(C44:I44)</f>
        <v>0</v>
      </c>
      <c r="C44" s="522">
        <f>C43</f>
        <v>0</v>
      </c>
      <c r="D44" s="522">
        <f>D43</f>
        <v>0</v>
      </c>
      <c r="E44" s="522">
        <f>IF(Zusatzeingaben!E8&gt;Zusatzeingaben!E2,E43*Zusatzeingaben!E14/30,IF(Zusatzeingaben!E18=25,E43*Zusatzeingaben!E10/30,E43))</f>
        <v>0</v>
      </c>
      <c r="F44" s="522">
        <f>IF(Zusatzeingaben!F8&gt;Zusatzeingaben!E2,F43*Zusatzeingaben!F14/30,IF(Zusatzeingaben!F18=25,F43*Zusatzeingaben!F10/30,F43))</f>
        <v>0</v>
      </c>
      <c r="G44" s="522">
        <f>IF(Zusatzeingaben!G8&gt;Zusatzeingaben!E2,G43*Zusatzeingaben!G14/30,IF(Zusatzeingaben!G18=25,G43*Zusatzeingaben!G10/30,G43))</f>
        <v>0</v>
      </c>
      <c r="H44" s="522">
        <f>IF(Zusatzeingaben!H8&gt;Zusatzeingaben!E2,H43*Zusatzeingaben!H14/30,IF(Zusatzeingaben!H18=25,H43*Zusatzeingaben!H10/30,H43))</f>
        <v>0</v>
      </c>
      <c r="I44" s="523">
        <f>IF(Zusatzeingaben!I8&gt;Zusatzeingaben!E2,I43*Zusatzeingaben!I14/30,IF(Zusatzeingaben!I18=25,I43*Zusatzeingaben!I10/30,I43))</f>
        <v>0</v>
      </c>
      <c r="K44" s="1338">
        <f>COUNTIF(C44:I44,C44)</f>
        <v>7</v>
      </c>
    </row>
    <row r="45" spans="1:11" hidden="1">
      <c r="A45" s="1341"/>
      <c r="B45" s="522">
        <f>SUM(C45:I45)</f>
        <v>0</v>
      </c>
      <c r="C45" s="522">
        <f>IF(AND(B44&lt;B43,C44=C43,C44&gt;0),C43+(B43-B44)/K44,C44)</f>
        <v>0</v>
      </c>
      <c r="D45" s="522">
        <f>IF(AND(B44&lt;B43,D44=D43,D44&gt;0),D43+(B43-B44)/K44,D44)</f>
        <v>0</v>
      </c>
      <c r="E45" s="522">
        <f>IF(AND(B44&lt;B43,E44=E43,E44&gt;0),E43+(B43-B44)/K44,E44)</f>
        <v>0</v>
      </c>
      <c r="F45" s="522">
        <f>IF(AND(B44&lt;B43,F44=F43,F44&gt;0),F43+(B43-B44)/K44,F44)</f>
        <v>0</v>
      </c>
      <c r="G45" s="522">
        <f>IF(AND(B44&lt;B43,G44=G43,G44&gt;0),G43+(B43-B44)/K44,G44)</f>
        <v>0</v>
      </c>
      <c r="H45" s="522">
        <f>IF(AND(B44&lt;B43,H44=H43,H44&gt;0),H43+(B43-B44)/K44,H44)</f>
        <v>0</v>
      </c>
      <c r="I45" s="523">
        <f>IF(AND(B44&lt;B43,I44=I43,I44&gt;0),I43+(B43-B44)/K44,I44)</f>
        <v>0</v>
      </c>
    </row>
    <row r="46" spans="1:11">
      <c r="A46" s="1339">
        <f>IF(B46&gt;0,"Heizkosten",0)</f>
        <v>0</v>
      </c>
      <c r="B46" s="1335">
        <f>SUM(C46:I46)</f>
        <v>0</v>
      </c>
      <c r="C46" s="522">
        <f>IF(Zusatzeingaben!$K$18&gt;0,C44,C45)</f>
        <v>0</v>
      </c>
      <c r="D46" s="522">
        <f>IF(Zusatzeingaben!$K$18&gt;0,D44,D45)</f>
        <v>0</v>
      </c>
      <c r="E46" s="522">
        <f>IF(Zusatzeingaben!$K$18&gt;0,E44,E45)</f>
        <v>0</v>
      </c>
      <c r="F46" s="522">
        <f>IF(Zusatzeingaben!$K$18&gt;0,F44,F45)</f>
        <v>0</v>
      </c>
      <c r="G46" s="522">
        <f>IF(Zusatzeingaben!$K$18&gt;0,G44,G45)</f>
        <v>0</v>
      </c>
      <c r="H46" s="522">
        <f>IF(Zusatzeingaben!$K$18&gt;0,H44,H45)</f>
        <v>0</v>
      </c>
      <c r="I46" s="523">
        <f>IF(Zusatzeingaben!$K$18&gt;0,I44,I45)</f>
        <v>0</v>
      </c>
    </row>
    <row r="47" spans="1:11" hidden="1">
      <c r="A47" s="1342" t="s">
        <v>2165</v>
      </c>
      <c r="B47" s="1343">
        <f t="shared" ref="B47:I47" si="1">B24-B29+B33+B37-B42+B46</f>
        <v>0</v>
      </c>
      <c r="C47" s="1343">
        <f t="shared" si="1"/>
        <v>0</v>
      </c>
      <c r="D47" s="1343">
        <f t="shared" si="1"/>
        <v>0</v>
      </c>
      <c r="E47" s="1343">
        <f t="shared" si="1"/>
        <v>0</v>
      </c>
      <c r="F47" s="1343">
        <f t="shared" si="1"/>
        <v>0</v>
      </c>
      <c r="G47" s="1343">
        <f t="shared" si="1"/>
        <v>0</v>
      </c>
      <c r="H47" s="1343">
        <f t="shared" si="1"/>
        <v>0</v>
      </c>
      <c r="I47" s="1344">
        <f t="shared" si="1"/>
        <v>0</v>
      </c>
    </row>
    <row r="48" spans="1:11" ht="17.25" customHeight="1">
      <c r="A48" s="1345">
        <f>IF(B49&gt;0,"Sonstiger Bedarf",0)</f>
        <v>0</v>
      </c>
      <c r="B48" s="1346"/>
      <c r="C48" s="1347"/>
      <c r="D48" s="1347"/>
      <c r="E48" s="1347"/>
      <c r="F48" s="1347"/>
      <c r="G48" s="1347"/>
      <c r="H48" s="1347"/>
      <c r="I48" s="1348"/>
    </row>
    <row r="49" spans="1:9" ht="16.5" customHeight="1">
      <c r="A49" s="1349">
        <f>IF(B49&gt;0,Zusatzeingaben!A117,0)</f>
        <v>0</v>
      </c>
      <c r="B49" s="1350">
        <f>SUM(C49:I49)</f>
        <v>0</v>
      </c>
      <c r="C49" s="1351">
        <f>Zusatzeingaben!C117</f>
        <v>0</v>
      </c>
      <c r="D49" s="1351">
        <f>Zusatzeingaben!D117</f>
        <v>0</v>
      </c>
      <c r="E49" s="1351">
        <f>Zusatzeingaben!E117</f>
        <v>0</v>
      </c>
      <c r="F49" s="1351">
        <f>Zusatzeingaben!F117</f>
        <v>0</v>
      </c>
      <c r="G49" s="1351">
        <f>Zusatzeingaben!G117</f>
        <v>0</v>
      </c>
      <c r="H49" s="1351">
        <f>Zusatzeingaben!H117</f>
        <v>0</v>
      </c>
      <c r="I49" s="1352">
        <f>Zusatzeingaben!I117</f>
        <v>0</v>
      </c>
    </row>
    <row r="50" spans="1:9" ht="23.25" customHeight="1">
      <c r="A50" s="1353" t="s">
        <v>2166</v>
      </c>
      <c r="B50" s="1354">
        <f>SUM(C50:I50)</f>
        <v>449</v>
      </c>
      <c r="C50" s="1354">
        <f t="shared" ref="C50:I50" si="2">C11+C13+C14+C15+C16+C17+C18+C19+C47+C49</f>
        <v>449</v>
      </c>
      <c r="D50" s="1354">
        <f t="shared" si="2"/>
        <v>0</v>
      </c>
      <c r="E50" s="1354">
        <f t="shared" si="2"/>
        <v>0</v>
      </c>
      <c r="F50" s="1354">
        <f t="shared" si="2"/>
        <v>0</v>
      </c>
      <c r="G50" s="1354">
        <f t="shared" si="2"/>
        <v>0</v>
      </c>
      <c r="H50" s="1354">
        <f t="shared" si="2"/>
        <v>0</v>
      </c>
      <c r="I50" s="1355">
        <f t="shared" si="2"/>
        <v>0</v>
      </c>
    </row>
    <row r="51" spans="1:9" ht="20.100000000000001" customHeight="1">
      <c r="C51" s="966">
        <f>VLOOKUP(E3,Bedarfssätze!B7:C14,2)</f>
        <v>391</v>
      </c>
      <c r="D51" s="966">
        <f>VLOOKUP(E3,Bedarfssätze!E7:F14,2)</f>
        <v>353</v>
      </c>
      <c r="E51" s="966">
        <f>VLOOKUP(E3,Bedarfssätze!B26:C33,2)</f>
        <v>296</v>
      </c>
      <c r="F51" s="966">
        <f>VLOOKUP(E3,Bedarfssätze!E26:F33,2)</f>
        <v>261</v>
      </c>
      <c r="G51" s="966">
        <f>VLOOKUP(E3,Bedarfssätze!H26:I33,2)</f>
        <v>229</v>
      </c>
      <c r="H51" s="966">
        <f>VLOOKUP(E3,Bedarfssätze!H7:I14,2)</f>
        <v>313</v>
      </c>
    </row>
    <row r="52" spans="1:9" ht="23.25">
      <c r="A52" s="1319"/>
      <c r="B52" s="1320" t="s">
        <v>175</v>
      </c>
      <c r="C52" s="1316"/>
      <c r="D52" s="1316"/>
      <c r="E52" s="1316"/>
      <c r="F52" s="1316"/>
      <c r="G52" s="1316"/>
      <c r="H52" s="1316"/>
      <c r="I52" s="1321"/>
    </row>
    <row r="53" spans="1:9" ht="17.25" customHeight="1">
      <c r="A53" s="839"/>
      <c r="B53" s="1322" t="s">
        <v>246</v>
      </c>
      <c r="C53" s="1322" t="str">
        <f>Zusatzeingaben!C4</f>
        <v>Antragsteller</v>
      </c>
      <c r="D53" s="1322" t="str">
        <f>Zusatzeingaben!D4</f>
        <v>Partner(in)</v>
      </c>
      <c r="E53" s="1322" t="str">
        <f>Zusatzeingaben!E4</f>
        <v>Kind 1</v>
      </c>
      <c r="F53" s="1322" t="s">
        <v>145</v>
      </c>
      <c r="G53" s="1322" t="s">
        <v>146</v>
      </c>
      <c r="H53" s="1322" t="s">
        <v>147</v>
      </c>
      <c r="I53" s="1323" t="s">
        <v>148</v>
      </c>
    </row>
    <row r="54" spans="1:9" hidden="1">
      <c r="A54" s="1345" t="s">
        <v>2167</v>
      </c>
      <c r="B54" s="1356">
        <f t="shared" ref="B54:B68" si="3">SUM(C54:I54)</f>
        <v>0</v>
      </c>
      <c r="C54" s="1346">
        <f>Zusatzeingaben!C140</f>
        <v>0</v>
      </c>
      <c r="D54" s="1346">
        <f>Zusatzeingaben!D140</f>
        <v>0</v>
      </c>
      <c r="E54" s="1346">
        <f>Zusatzeingaben!E140</f>
        <v>0</v>
      </c>
      <c r="F54" s="1346">
        <f>Zusatzeingaben!F140</f>
        <v>0</v>
      </c>
      <c r="G54" s="1346">
        <f>Zusatzeingaben!G140</f>
        <v>0</v>
      </c>
      <c r="H54" s="1346">
        <f>Zusatzeingaben!H140</f>
        <v>0</v>
      </c>
      <c r="I54" s="1346">
        <f>Zusatzeingaben!I140</f>
        <v>0</v>
      </c>
    </row>
    <row r="55" spans="1:9">
      <c r="A55" s="1544">
        <f>IF(B55&gt;0,"Nettolohn",0)</f>
        <v>0</v>
      </c>
      <c r="B55" s="1335">
        <f t="shared" si="3"/>
        <v>0</v>
      </c>
      <c r="C55" s="522">
        <f>Zusatzeingaben!C133</f>
        <v>0</v>
      </c>
      <c r="D55" s="522">
        <f>Zusatzeingaben!D133</f>
        <v>0</v>
      </c>
      <c r="E55" s="522">
        <f>Zusatzeingaben!E133</f>
        <v>0</v>
      </c>
      <c r="F55" s="522">
        <f>Zusatzeingaben!F133</f>
        <v>0</v>
      </c>
      <c r="G55" s="522">
        <f>Zusatzeingaben!G133</f>
        <v>0</v>
      </c>
      <c r="H55" s="522">
        <f>Zusatzeingaben!H133</f>
        <v>0</v>
      </c>
      <c r="I55" s="523">
        <f>Zusatzeingaben!I133</f>
        <v>0</v>
      </c>
    </row>
    <row r="56" spans="1:9">
      <c r="A56" s="976">
        <f>IF(B56&gt;0,"Ausbildungsvergütung (netto)",0)</f>
        <v>0</v>
      </c>
      <c r="B56" s="1335">
        <f t="shared" si="3"/>
        <v>0</v>
      </c>
      <c r="C56" s="522">
        <f>Zusatzeingaben!C137</f>
        <v>0</v>
      </c>
      <c r="D56" s="522">
        <f>Zusatzeingaben!D137</f>
        <v>0</v>
      </c>
      <c r="E56" s="522">
        <f>Zusatzeingaben!E137</f>
        <v>0</v>
      </c>
      <c r="F56" s="522">
        <f>Zusatzeingaben!F137</f>
        <v>0</v>
      </c>
      <c r="G56" s="522">
        <f>Zusatzeingaben!G137</f>
        <v>0</v>
      </c>
      <c r="H56" s="522">
        <f>Zusatzeingaben!H137</f>
        <v>0</v>
      </c>
      <c r="I56" s="523">
        <f>Zusatzeingaben!I137</f>
        <v>0</v>
      </c>
    </row>
    <row r="57" spans="1:9">
      <c r="A57" s="976">
        <f>IF(B57&gt;0,Zusatzeingaben!A139,0)</f>
        <v>0</v>
      </c>
      <c r="B57" s="1335">
        <f t="shared" si="3"/>
        <v>0</v>
      </c>
      <c r="C57" s="522">
        <f>Zusatzeingaben!C139</f>
        <v>0</v>
      </c>
      <c r="D57" s="522">
        <f>Zusatzeingaben!D139</f>
        <v>0</v>
      </c>
      <c r="E57" s="522">
        <f>Zusatzeingaben!E139</f>
        <v>0</v>
      </c>
      <c r="F57" s="522">
        <f>Zusatzeingaben!F139</f>
        <v>0</v>
      </c>
      <c r="G57" s="522">
        <f>Zusatzeingaben!G139</f>
        <v>0</v>
      </c>
      <c r="H57" s="522">
        <f>Zusatzeingaben!H139</f>
        <v>0</v>
      </c>
      <c r="I57" s="523">
        <f>Zusatzeingaben!I139</f>
        <v>0</v>
      </c>
    </row>
    <row r="58" spans="1:9">
      <c r="A58" s="976">
        <f>IF(B58&gt;0,"steuerfreie Einnahmen Ehrenamt o.ä.",0)</f>
        <v>0</v>
      </c>
      <c r="B58" s="1335">
        <f t="shared" si="3"/>
        <v>0</v>
      </c>
      <c r="C58" s="522">
        <f>Zusatzeingaben!C138</f>
        <v>0</v>
      </c>
      <c r="D58" s="522">
        <f>Zusatzeingaben!D138</f>
        <v>0</v>
      </c>
      <c r="E58" s="522">
        <f>Zusatzeingaben!E138</f>
        <v>0</v>
      </c>
      <c r="F58" s="522">
        <f>Zusatzeingaben!F138</f>
        <v>0</v>
      </c>
      <c r="G58" s="522">
        <f>Zusatzeingaben!G138</f>
        <v>0</v>
      </c>
      <c r="H58" s="522">
        <f>Zusatzeingaben!H138</f>
        <v>0</v>
      </c>
      <c r="I58" s="523">
        <f>Zusatzeingaben!I138</f>
        <v>0</v>
      </c>
    </row>
    <row r="59" spans="1:9">
      <c r="A59" s="976">
        <f>IF(B59&gt;0,"Einkommen aus Freiwilligendienste",0)</f>
        <v>0</v>
      </c>
      <c r="B59" s="1335">
        <f t="shared" si="3"/>
        <v>0</v>
      </c>
      <c r="C59" s="522">
        <f>Zusatzeingaben!C170</f>
        <v>0</v>
      </c>
      <c r="D59" s="522">
        <f>Zusatzeingaben!D170</f>
        <v>0</v>
      </c>
      <c r="E59" s="522">
        <f>Zusatzeingaben!E170</f>
        <v>0</v>
      </c>
      <c r="F59" s="522">
        <f>Zusatzeingaben!F170</f>
        <v>0</v>
      </c>
      <c r="G59" s="522">
        <f>Zusatzeingaben!G170</f>
        <v>0</v>
      </c>
      <c r="H59" s="522">
        <f>Zusatzeingaben!H170</f>
        <v>0</v>
      </c>
      <c r="I59" s="523">
        <f>Zusatzeingaben!I170</f>
        <v>0</v>
      </c>
    </row>
    <row r="60" spans="1:9">
      <c r="A60" s="976">
        <f>IF(B60&gt;0,"Elterngeld",0)</f>
        <v>0</v>
      </c>
      <c r="B60" s="1335">
        <f t="shared" si="3"/>
        <v>0</v>
      </c>
      <c r="C60" s="522">
        <f>Zusatzeingaben!C174</f>
        <v>0</v>
      </c>
      <c r="D60" s="522">
        <f>Zusatzeingaben!D174</f>
        <v>0</v>
      </c>
      <c r="E60" s="522"/>
      <c r="F60" s="522"/>
      <c r="G60" s="522"/>
      <c r="H60" s="522"/>
      <c r="I60" s="523"/>
    </row>
    <row r="61" spans="1:9">
      <c r="A61" s="976">
        <f>IF(B61&gt;0,Zusatzeingaben!A180,0)</f>
        <v>0</v>
      </c>
      <c r="B61" s="1335">
        <f t="shared" si="3"/>
        <v>0</v>
      </c>
      <c r="C61" s="522">
        <f>Zusatzeingaben!C180</f>
        <v>0</v>
      </c>
      <c r="D61" s="522">
        <f>Zusatzeingaben!D180</f>
        <v>0</v>
      </c>
      <c r="E61" s="522">
        <f>Zusatzeingaben!E180</f>
        <v>0</v>
      </c>
      <c r="F61" s="522">
        <f>Zusatzeingaben!F180</f>
        <v>0</v>
      </c>
      <c r="G61" s="522"/>
      <c r="H61" s="522"/>
      <c r="I61" s="523"/>
    </row>
    <row r="62" spans="1:9">
      <c r="A62" s="976">
        <f>IF(B62&gt;0,"Kindergeld",0)</f>
        <v>0</v>
      </c>
      <c r="B62" s="1335">
        <f t="shared" si="3"/>
        <v>0</v>
      </c>
      <c r="C62" s="522">
        <f>Zusatzeingaben!C192</f>
        <v>0</v>
      </c>
      <c r="D62" s="522">
        <f>Zusatzeingaben!D192</f>
        <v>0</v>
      </c>
      <c r="E62" s="522">
        <f>Zusatzeingaben!E192</f>
        <v>0</v>
      </c>
      <c r="F62" s="522">
        <f>Zusatzeingaben!F192</f>
        <v>0</v>
      </c>
      <c r="G62" s="522">
        <f>Zusatzeingaben!G192</f>
        <v>0</v>
      </c>
      <c r="H62" s="522">
        <f>Zusatzeingaben!H192</f>
        <v>0</v>
      </c>
      <c r="I62" s="523">
        <f>Zusatzeingaben!I192</f>
        <v>0</v>
      </c>
    </row>
    <row r="63" spans="1:9">
      <c r="A63" s="976">
        <f>IF(B63&gt;0,"Unterhalt/Unterhaltsvorschuss",0)</f>
        <v>0</v>
      </c>
      <c r="B63" s="1335">
        <f t="shared" si="3"/>
        <v>0</v>
      </c>
      <c r="C63" s="522">
        <f>Zusatzeingaben!C195</f>
        <v>0</v>
      </c>
      <c r="D63" s="522">
        <f>Zusatzeingaben!D195</f>
        <v>0</v>
      </c>
      <c r="E63" s="522">
        <f>Zusatzeingaben!E195</f>
        <v>0</v>
      </c>
      <c r="F63" s="522">
        <f>Zusatzeingaben!F195</f>
        <v>0</v>
      </c>
      <c r="G63" s="522">
        <f>Zusatzeingaben!G195</f>
        <v>0</v>
      </c>
      <c r="H63" s="522">
        <f>Zusatzeingaben!H195</f>
        <v>0</v>
      </c>
      <c r="I63" s="523">
        <f>Zusatzeingaben!I195</f>
        <v>0</v>
      </c>
    </row>
    <row r="64" spans="1:9">
      <c r="A64" s="976">
        <f>IF(B64&gt;0,Zusatzeingaben!A196,0)</f>
        <v>0</v>
      </c>
      <c r="B64" s="1335">
        <f t="shared" si="3"/>
        <v>0</v>
      </c>
      <c r="C64" s="522">
        <f>Zusatzeingaben!C196</f>
        <v>0</v>
      </c>
      <c r="D64" s="522">
        <f>Zusatzeingaben!D196</f>
        <v>0</v>
      </c>
      <c r="E64" s="522">
        <f>Zusatzeingaben!E196</f>
        <v>0</v>
      </c>
      <c r="F64" s="522">
        <f>Zusatzeingaben!F196</f>
        <v>0</v>
      </c>
      <c r="G64" s="522">
        <f>Zusatzeingaben!G196</f>
        <v>0</v>
      </c>
      <c r="H64" s="522">
        <f>Zusatzeingaben!H196</f>
        <v>0</v>
      </c>
      <c r="I64" s="523">
        <f>Zusatzeingaben!I196</f>
        <v>0</v>
      </c>
    </row>
    <row r="65" spans="1:9">
      <c r="A65" s="976">
        <f>IF(B65&gt;0,"Altersrente",0)</f>
        <v>0</v>
      </c>
      <c r="B65" s="1335">
        <f t="shared" si="3"/>
        <v>0</v>
      </c>
      <c r="C65" s="522">
        <f>Zusatzeingaben!C197</f>
        <v>0</v>
      </c>
      <c r="D65" s="522">
        <f>Zusatzeingaben!D197</f>
        <v>0</v>
      </c>
      <c r="E65" s="522">
        <f>Zusatzeingaben!E197</f>
        <v>0</v>
      </c>
      <c r="F65" s="522">
        <f>Zusatzeingaben!F197</f>
        <v>0</v>
      </c>
      <c r="G65" s="522">
        <f>Zusatzeingaben!G197</f>
        <v>0</v>
      </c>
      <c r="H65" s="522">
        <f>Zusatzeingaben!H197</f>
        <v>0</v>
      </c>
      <c r="I65" s="523">
        <f>Zusatzeingaben!I197</f>
        <v>0</v>
      </c>
    </row>
    <row r="66" spans="1:9">
      <c r="A66" s="976">
        <f>IF(B66&gt;0,Zusatzeingaben!A198,0)</f>
        <v>0</v>
      </c>
      <c r="B66" s="1335">
        <f t="shared" si="3"/>
        <v>0</v>
      </c>
      <c r="C66" s="522">
        <f>Zusatzeingaben!C198</f>
        <v>0</v>
      </c>
      <c r="D66" s="522">
        <f>Zusatzeingaben!D198</f>
        <v>0</v>
      </c>
      <c r="E66" s="522">
        <f>Zusatzeingaben!E198</f>
        <v>0</v>
      </c>
      <c r="F66" s="522">
        <f>Zusatzeingaben!F198</f>
        <v>0</v>
      </c>
      <c r="G66" s="522">
        <f>Zusatzeingaben!G198</f>
        <v>0</v>
      </c>
      <c r="H66" s="522">
        <f>Zusatzeingaben!H198</f>
        <v>0</v>
      </c>
      <c r="I66" s="523">
        <f>Zusatzeingaben!I198</f>
        <v>0</v>
      </c>
    </row>
    <row r="67" spans="1:9" hidden="1">
      <c r="A67" s="976"/>
      <c r="B67" s="1335">
        <f t="shared" si="3"/>
        <v>0</v>
      </c>
      <c r="C67" s="522"/>
      <c r="D67" s="522"/>
      <c r="E67" s="522"/>
      <c r="F67" s="522"/>
      <c r="G67" s="522"/>
      <c r="H67" s="522"/>
      <c r="I67" s="523"/>
    </row>
    <row r="68" spans="1:9" ht="16.5" customHeight="1">
      <c r="A68" s="1022">
        <f>IF(B68&gt;0,Zusatzeingaben!A199,0)</f>
        <v>0</v>
      </c>
      <c r="B68" s="1357">
        <f t="shared" si="3"/>
        <v>0</v>
      </c>
      <c r="C68" s="1024">
        <f>Zusatzeingaben!C199</f>
        <v>0</v>
      </c>
      <c r="D68" s="1024">
        <f>Zusatzeingaben!D199</f>
        <v>0</v>
      </c>
      <c r="E68" s="1024">
        <f>Zusatzeingaben!E199</f>
        <v>0</v>
      </c>
      <c r="F68" s="1024">
        <f>Zusatzeingaben!F199</f>
        <v>0</v>
      </c>
      <c r="G68" s="1024">
        <f>Zusatzeingaben!G199</f>
        <v>0</v>
      </c>
      <c r="H68" s="1024">
        <f>Zusatzeingaben!H199</f>
        <v>0</v>
      </c>
      <c r="I68" s="1025">
        <f>Zusatzeingaben!I199</f>
        <v>0</v>
      </c>
    </row>
    <row r="69" spans="1:9" hidden="1">
      <c r="A69" s="1248"/>
      <c r="B69" s="1358"/>
      <c r="C69" s="634">
        <f t="shared" ref="C69:I69" si="4">SUM(C60:C68)</f>
        <v>0</v>
      </c>
      <c r="D69" s="634">
        <f t="shared" si="4"/>
        <v>0</v>
      </c>
      <c r="E69" s="634">
        <f t="shared" si="4"/>
        <v>0</v>
      </c>
      <c r="F69" s="634">
        <f t="shared" si="4"/>
        <v>0</v>
      </c>
      <c r="G69" s="634">
        <f t="shared" si="4"/>
        <v>0</v>
      </c>
      <c r="H69" s="634">
        <f t="shared" si="4"/>
        <v>0</v>
      </c>
      <c r="I69" s="635">
        <f t="shared" si="4"/>
        <v>0</v>
      </c>
    </row>
    <row r="70" spans="1:9">
      <c r="A70" s="1359" t="s">
        <v>208</v>
      </c>
      <c r="B70" s="1360">
        <f>SUM(C70:I70)</f>
        <v>0</v>
      </c>
      <c r="C70" s="1031">
        <f t="shared" ref="C70:I70" si="5">SUM(C55:C68)</f>
        <v>0</v>
      </c>
      <c r="D70" s="1031">
        <f t="shared" si="5"/>
        <v>0</v>
      </c>
      <c r="E70" s="1031">
        <f t="shared" si="5"/>
        <v>0</v>
      </c>
      <c r="F70" s="1031">
        <f t="shared" si="5"/>
        <v>0</v>
      </c>
      <c r="G70" s="1031">
        <f t="shared" si="5"/>
        <v>0</v>
      </c>
      <c r="H70" s="1031">
        <f t="shared" si="5"/>
        <v>0</v>
      </c>
      <c r="I70" s="1032">
        <f t="shared" si="5"/>
        <v>0</v>
      </c>
    </row>
    <row r="71" spans="1:9" ht="16.5" hidden="1" customHeight="1">
      <c r="A71" s="1341"/>
      <c r="B71" s="522"/>
      <c r="C71" s="507">
        <f>IF(AND(Zusatzeingaben!C161&gt;0,Zusatzeingaben!C164=Zusatzeingaben!C161),0,Zusatzeingaben!C203)</f>
        <v>0</v>
      </c>
      <c r="D71" s="507">
        <f>IF(AND(Zusatzeingaben!D161&gt;0,Zusatzeingaben!D164=Zusatzeingaben!D161),0,Zusatzeingaben!D203)</f>
        <v>0</v>
      </c>
      <c r="E71" s="507">
        <f>IF(AND(Zusatzeingaben!E161&gt;0,Zusatzeingaben!E164=Zusatzeingaben!E161),0,Zusatzeingaben!E203)</f>
        <v>0</v>
      </c>
      <c r="F71" s="507">
        <f>IF(AND(Zusatzeingaben!F161&gt;0,Zusatzeingaben!F164=Zusatzeingaben!F161),0,Zusatzeingaben!F203)</f>
        <v>0</v>
      </c>
      <c r="G71" s="507">
        <f>IF(AND(Zusatzeingaben!G161&gt;0,Zusatzeingaben!G164=Zusatzeingaben!G161),0,Zusatzeingaben!G203)</f>
        <v>0</v>
      </c>
      <c r="H71" s="507">
        <f>IF(AND(Zusatzeingaben!H161&gt;0,Zusatzeingaben!H164=Zusatzeingaben!H161),0,Zusatzeingaben!H203)</f>
        <v>0</v>
      </c>
      <c r="I71" s="508">
        <f>IF(AND(Zusatzeingaben!I161&gt;0,Zusatzeingaben!I164=Zusatzeingaben!I161),0,Zusatzeingaben!I203)</f>
        <v>0</v>
      </c>
    </row>
    <row r="72" spans="1:9" ht="16.5" hidden="1" customHeight="1">
      <c r="A72" s="1341"/>
      <c r="B72" s="522"/>
      <c r="C72" s="507">
        <f>IF(AND(Zusatzeingaben!C215&gt;C113,C78&lt;0),C71+C78,C71)</f>
        <v>0</v>
      </c>
      <c r="D72" s="507">
        <f>IF(AND(Zusatzeingaben!D215&gt;D113,D78&lt;0),D71+D78,D71)</f>
        <v>0</v>
      </c>
      <c r="E72" s="507">
        <f>IF(AND(Zusatzeingaben!E215&gt;E113,E78&lt;0),E71+E78,E71)</f>
        <v>0</v>
      </c>
      <c r="F72" s="507">
        <f>IF(AND(Zusatzeingaben!F215&gt;F113,F78&lt;0),F71+F78,F71)</f>
        <v>0</v>
      </c>
      <c r="G72" s="507">
        <f>IF(AND(Zusatzeingaben!G215&gt;G113,G78&lt;0),G71+G78,G71)</f>
        <v>0</v>
      </c>
      <c r="H72" s="507">
        <f>IF(AND(Zusatzeingaben!H215&gt;H113,H78&lt;0),H71+H78,H71)</f>
        <v>0</v>
      </c>
      <c r="I72" s="508">
        <f>IF(AND(Zusatzeingaben!I215&gt;I113,I78&lt;0),I71+I78,I71)</f>
        <v>0</v>
      </c>
    </row>
    <row r="73" spans="1:9" ht="16.5" hidden="1" customHeight="1">
      <c r="A73" s="1341"/>
      <c r="B73" s="522"/>
      <c r="C73" s="507">
        <f>IF(AND(C113&gt;0,Zusatzeingaben!C215&lt;C113),0,C72)</f>
        <v>0</v>
      </c>
      <c r="D73" s="507">
        <f>IF(AND(D113&gt;0,Zusatzeingaben!D215&lt;D113),0,D72)</f>
        <v>0</v>
      </c>
      <c r="E73" s="507">
        <f>IF(AND(E113&gt;0,Zusatzeingaben!E215&lt;E113),0,E72)</f>
        <v>0</v>
      </c>
      <c r="F73" s="507">
        <f>IF(AND(F113&gt;0,Zusatzeingaben!F215&lt;F113),0,F72)</f>
        <v>0</v>
      </c>
      <c r="G73" s="507">
        <f>IF(AND(G113&gt;0,Zusatzeingaben!G215&lt;G113),0,G72)</f>
        <v>0</v>
      </c>
      <c r="H73" s="507">
        <f>IF(AND(H113&gt;0,Zusatzeingaben!H215&lt;H113),0,H72)</f>
        <v>0</v>
      </c>
      <c r="I73" s="508">
        <f>IF(AND(I113&gt;0,Zusatzeingaben!I215&lt;I113),0,I72)</f>
        <v>0</v>
      </c>
    </row>
    <row r="74" spans="1:9" ht="16.5" hidden="1" customHeight="1">
      <c r="A74" s="1341"/>
      <c r="B74" s="522"/>
      <c r="C74" s="507">
        <f>IF(C113=0,Zusatzeingaben!C203,0)</f>
        <v>0</v>
      </c>
      <c r="D74" s="507">
        <f>IF(D113=0,Zusatzeingaben!D203,0)</f>
        <v>0</v>
      </c>
      <c r="E74" s="507">
        <f>IF(E113=0,Zusatzeingaben!E203,0)</f>
        <v>0</v>
      </c>
      <c r="F74" s="507">
        <f>IF(F113=0,Zusatzeingaben!F203,0)</f>
        <v>0</v>
      </c>
      <c r="G74" s="507">
        <f>IF(G113=0,Zusatzeingaben!G203,0)</f>
        <v>0</v>
      </c>
      <c r="H74" s="507">
        <f>IF(H113=0,Zusatzeingaben!H203,0)</f>
        <v>0</v>
      </c>
      <c r="I74" s="508">
        <f>IF(I113=0,Zusatzeingaben!I203,0)</f>
        <v>0</v>
      </c>
    </row>
    <row r="75" spans="1:9" ht="16.5" hidden="1" customHeight="1">
      <c r="A75" s="1341"/>
      <c r="B75" s="1361"/>
      <c r="C75" s="634">
        <f t="shared" ref="C75:I75" si="6">IF(C74=30,C74,C73)</f>
        <v>0</v>
      </c>
      <c r="D75" s="634">
        <f t="shared" si="6"/>
        <v>0</v>
      </c>
      <c r="E75" s="634">
        <f t="shared" si="6"/>
        <v>0</v>
      </c>
      <c r="F75" s="634">
        <f t="shared" si="6"/>
        <v>0</v>
      </c>
      <c r="G75" s="634">
        <f t="shared" si="6"/>
        <v>0</v>
      </c>
      <c r="H75" s="634">
        <f t="shared" si="6"/>
        <v>0</v>
      </c>
      <c r="I75" s="635">
        <f t="shared" si="6"/>
        <v>0</v>
      </c>
    </row>
    <row r="76" spans="1:9">
      <c r="A76" s="1362">
        <f>IF(B76&gt;0,"./. Versicherungspauschale",0)</f>
        <v>0</v>
      </c>
      <c r="B76" s="1331">
        <f>SUM(C76:I76)</f>
        <v>0</v>
      </c>
      <c r="C76" s="1363">
        <f>IF(C70=0,0,IF(C75&lt;0,0,IF(AND(C114&gt;0,C54&lt;=400),0,IF(AND(C114&gt;0,Zusatzeingaben!C141=0),0,IF(AND(C61&gt;0,C120=Zusatzeingaben!C189,Zusatzeingaben!C189&gt;0),0,C75)))))</f>
        <v>0</v>
      </c>
      <c r="D76" s="1363">
        <f>IF(D70=0,0,IF(D75&lt;0,0,IF(AND(D114&gt;0,D54&lt;=400),0,IF(AND(D114&gt;0,Zusatzeingaben!D141=0),0,IF(AND(D61&gt;0,D120=Zusatzeingaben!D189,Zusatzeingaben!D189&gt;0),0,D75)))))</f>
        <v>0</v>
      </c>
      <c r="E76" s="1363">
        <f>IF(E70=0,0,IF(E75&lt;0,0,IF(AND(E114&gt;0,E54&lt;=400),0,IF(AND(E114&gt;0,Zusatzeingaben!E141=0),0,IF(AND(E61&gt;0,E120=Zusatzeingaben!E189,Zusatzeingaben!E189&gt;0),0,E75)))))</f>
        <v>0</v>
      </c>
      <c r="F76" s="1363">
        <f>IF(F70=0,0,IF(F75&lt;0,0,IF(AND(F114&gt;0,F54&lt;=400),0,IF(AND(F114&gt;0,Zusatzeingaben!F141=0),0,IF(AND(F61&gt;0,F120=Zusatzeingaben!F189,Zusatzeingaben!F189&gt;0),0,F75)))))</f>
        <v>0</v>
      </c>
      <c r="G76" s="1363">
        <f>IF(G70=0,0,IF(G75&lt;0,0,IF(AND(G114&gt;0,G54&lt;=400),0,IF(AND(G114&gt;0,Zusatzeingaben!G141=0),0,IF(AND(G61&gt;0,G120=Zusatzeingaben!G189,Zusatzeingaben!G189&gt;0),0,G75)))))</f>
        <v>0</v>
      </c>
      <c r="H76" s="1363">
        <f>IF(H70=0,0,IF(H75&lt;0,0,IF(AND(H114&gt;0,H54&lt;=400),0,IF(AND(H114&gt;0,Zusatzeingaben!H141=0),0,IF(AND(H61&gt;0,H120=Zusatzeingaben!H189,Zusatzeingaben!H189&gt;0),0,H75)))))</f>
        <v>0</v>
      </c>
      <c r="I76" s="1364">
        <f>IF(I70=0,0,IF(I75&lt;0,0,IF(AND(I114&gt;0,I54&lt;=400),0,IF(AND(I114&gt;0,Zusatzeingaben!I141=0),0,IF(AND(I61&gt;0,I120=Zusatzeingaben!I189,Zusatzeingaben!I189&gt;0),0,I75)))))</f>
        <v>0</v>
      </c>
    </row>
    <row r="77" spans="1:9" hidden="1">
      <c r="A77" s="1341"/>
      <c r="B77" s="522"/>
      <c r="C77" s="507">
        <f>IF(AND(Zusatzeingaben!C161&gt;0,Zusatzeingaben!C164=Zusatzeingaben!C161),0,Zusatzeingaben!C204-Zusatzeingaben!C161)</f>
        <v>0</v>
      </c>
      <c r="D77" s="507">
        <f>IF(AND(Zusatzeingaben!D161&gt;0,Zusatzeingaben!D164=Zusatzeingaben!D161),0,Zusatzeingaben!D204-Zusatzeingaben!D161)</f>
        <v>0</v>
      </c>
      <c r="E77" s="507">
        <f>IF(AND(Zusatzeingaben!E161&gt;0,Zusatzeingaben!E164=Zusatzeingaben!E161),0,Zusatzeingaben!E204-Zusatzeingaben!E161)</f>
        <v>0</v>
      </c>
      <c r="F77" s="507">
        <f>IF(AND(Zusatzeingaben!F161&gt;0,Zusatzeingaben!F164=Zusatzeingaben!F161),0,Zusatzeingaben!F204-Zusatzeingaben!F161)</f>
        <v>0</v>
      </c>
      <c r="G77" s="507">
        <f>IF(AND(Zusatzeingaben!G161&gt;0,Zusatzeingaben!G164=Zusatzeingaben!G161),0,Zusatzeingaben!G204-Zusatzeingaben!G161)</f>
        <v>0</v>
      </c>
      <c r="H77" s="507">
        <f>IF(AND(Zusatzeingaben!H161&gt;0,Zusatzeingaben!H164=Zusatzeingaben!H161),0,Zusatzeingaben!H204-Zusatzeingaben!H161)</f>
        <v>0</v>
      </c>
      <c r="I77" s="508">
        <f>IF(AND(Zusatzeingaben!I161&gt;0,Zusatzeingaben!I164=Zusatzeingaben!I161),0,Zusatzeingaben!I204-Zusatzeingaben!I161)</f>
        <v>0</v>
      </c>
    </row>
    <row r="78" spans="1:9" hidden="1">
      <c r="A78" s="1341"/>
      <c r="B78" s="522"/>
      <c r="C78" s="507">
        <f>IF(AND(C71&gt;0,C77&gt;Zusatzeingaben!C204),Zusatzeingaben!C204,C77)</f>
        <v>0</v>
      </c>
      <c r="D78" s="507">
        <f>IF(AND(D71&gt;0,D77&gt;Zusatzeingaben!D204),Zusatzeingaben!D204,D77)</f>
        <v>0</v>
      </c>
      <c r="E78" s="507">
        <f>IF(AND(E71&gt;0,E77&gt;Zusatzeingaben!E204),Zusatzeingaben!E204,E77)</f>
        <v>0</v>
      </c>
      <c r="F78" s="507">
        <f>IF(AND(F71&gt;0,F77&gt;Zusatzeingaben!F204),Zusatzeingaben!F204,F77)</f>
        <v>0</v>
      </c>
      <c r="G78" s="507">
        <f>IF(AND(G71&gt;0,G77&gt;Zusatzeingaben!G204),Zusatzeingaben!G204,G77)</f>
        <v>0</v>
      </c>
      <c r="H78" s="507">
        <f>IF(AND(H71&gt;0,H77&gt;Zusatzeingaben!H204),Zusatzeingaben!H204,H77)</f>
        <v>0</v>
      </c>
      <c r="I78" s="508">
        <f>IF(AND(I71&gt;0,I77&gt;Zusatzeingaben!I204),Zusatzeingaben!I204,I77)</f>
        <v>0</v>
      </c>
    </row>
    <row r="79" spans="1:9" hidden="1">
      <c r="A79" s="1341"/>
      <c r="B79" s="522"/>
      <c r="C79" s="507">
        <f>IF(C113=0,Zusatzeingaben!C204,0)</f>
        <v>0</v>
      </c>
      <c r="D79" s="507">
        <f>IF(D113=0,Zusatzeingaben!D204,0)</f>
        <v>0</v>
      </c>
      <c r="E79" s="507">
        <f>IF(E113=0,Zusatzeingaben!E204,0)</f>
        <v>0</v>
      </c>
      <c r="F79" s="507">
        <f>IF(F113=0,Zusatzeingaben!F204,0)</f>
        <v>0</v>
      </c>
      <c r="G79" s="507">
        <f>IF(G113=0,Zusatzeingaben!G204,0)</f>
        <v>0</v>
      </c>
      <c r="H79" s="507">
        <f>IF(H113=0,Zusatzeingaben!H204,0)</f>
        <v>0</v>
      </c>
      <c r="I79" s="508">
        <f>IF(I113=0,Zusatzeingaben!I204,0)</f>
        <v>0</v>
      </c>
    </row>
    <row r="80" spans="1:9" hidden="1">
      <c r="A80" s="1341"/>
      <c r="B80" s="522"/>
      <c r="C80" s="507">
        <f>IF(C79=Zusatzeingaben!C204,C79,C78)</f>
        <v>0</v>
      </c>
      <c r="D80" s="507">
        <f>IF(D79=Zusatzeingaben!D204,D79,D78)</f>
        <v>0</v>
      </c>
      <c r="E80" s="507">
        <f>IF(E79=Zusatzeingaben!E204,E79,E78)</f>
        <v>0</v>
      </c>
      <c r="F80" s="507">
        <f>IF(F79=Zusatzeingaben!F204,F79,F78)</f>
        <v>0</v>
      </c>
      <c r="G80" s="507">
        <f>IF(G79=Zusatzeingaben!G204,G79,G78)</f>
        <v>0</v>
      </c>
      <c r="H80" s="507">
        <f>IF(H79=Zusatzeingaben!H204,H79,H78)</f>
        <v>0</v>
      </c>
      <c r="I80" s="508">
        <f>IF(I79=Zusatzeingaben!I204,I79,I78)</f>
        <v>0</v>
      </c>
    </row>
    <row r="81" spans="1:11" hidden="1">
      <c r="A81" s="1341"/>
      <c r="B81" s="522"/>
      <c r="C81" s="1016">
        <f t="shared" ref="C81:I81" si="7">IF(OR(C80&lt;0,C70=0),0,C80)</f>
        <v>0</v>
      </c>
      <c r="D81" s="1016">
        <f t="shared" si="7"/>
        <v>0</v>
      </c>
      <c r="E81" s="1016">
        <f t="shared" si="7"/>
        <v>0</v>
      </c>
      <c r="F81" s="1016">
        <f t="shared" si="7"/>
        <v>0</v>
      </c>
      <c r="G81" s="1016">
        <f t="shared" si="7"/>
        <v>0</v>
      </c>
      <c r="H81" s="1016">
        <f t="shared" si="7"/>
        <v>0</v>
      </c>
      <c r="I81" s="1017">
        <f t="shared" si="7"/>
        <v>0</v>
      </c>
    </row>
    <row r="82" spans="1:11">
      <c r="A82" s="976">
        <f>IF(B82&gt;0,"./. Kfz-Haftpflichtversicherung",0)</f>
        <v>0</v>
      </c>
      <c r="B82" s="1335">
        <f>SUM(C82:I82)</f>
        <v>0</v>
      </c>
      <c r="C82" s="1016">
        <f>IF(AND(C114&gt;0,C54&lt;=400),0,IF(AND(C114&gt;0,Zusatzeingaben!C141=0),0,IF(AND(C120=Zusatzeingaben!C189,C61&gt;0,Zusatzeingaben!C189&gt;0),0,C81)))</f>
        <v>0</v>
      </c>
      <c r="D82" s="1016">
        <f>IF(AND(D114&gt;0,D54&lt;=400),0,IF(AND(D114&gt;0,Zusatzeingaben!D141=0),0,IF(AND(D120=Zusatzeingaben!D189,D61&gt;0,Zusatzeingaben!D189&gt;0),0,D81)))</f>
        <v>0</v>
      </c>
      <c r="E82" s="1016">
        <f>IF(AND(E114&gt;0,E54&lt;=400),0,IF(AND(E114&gt;0,Zusatzeingaben!E141=0),0,IF(AND(E120=Zusatzeingaben!E189,E61&gt;0,Zusatzeingaben!E189&gt;0),0,E81)))</f>
        <v>0</v>
      </c>
      <c r="F82" s="1016">
        <f>IF(AND(F114&gt;0,F54&lt;=400),0,IF(AND(F114&gt;0,Zusatzeingaben!F141=0),0,IF(AND(F120=Zusatzeingaben!F189,F61&gt;0,Zusatzeingaben!F189&gt;0),0,F81)))</f>
        <v>0</v>
      </c>
      <c r="G82" s="1016">
        <f>IF(AND(G114&gt;0,G54&lt;=400),0,IF(AND(G114&gt;0,Zusatzeingaben!G141=0),0,IF(AND(G120=Zusatzeingaben!G189,G61&gt;0,Zusatzeingaben!G189&gt;0),0,G81)))</f>
        <v>0</v>
      </c>
      <c r="H82" s="1016">
        <f>IF(AND(H114&gt;0,H54&lt;=400),0,IF(AND(H114&gt;0,Zusatzeingaben!H141=0),0,IF(AND(H120=Zusatzeingaben!H189,H61&gt;0,Zusatzeingaben!H189&gt;0),0,H81)))</f>
        <v>0</v>
      </c>
      <c r="I82" s="1017">
        <f>IF(AND(I114&gt;0,I54&lt;=400),0,IF(AND(I114&gt;0,Zusatzeingaben!I141=0),0,IF(AND(I120=Zusatzeingaben!I189,I61&gt;0,Zusatzeingaben!I189&gt;0),0,I81)))</f>
        <v>0</v>
      </c>
      <c r="K82" s="563"/>
    </row>
    <row r="83" spans="1:11" ht="18" hidden="1" customHeight="1">
      <c r="A83" s="1341"/>
      <c r="B83" s="507"/>
      <c r="C83" s="507">
        <f>IF(AND(Zusatzeingaben!C161&gt;0,Zusatzeingaben!C164=Zusatzeingaben!C161),0,Zusatzeingaben!C205)</f>
        <v>0</v>
      </c>
      <c r="D83" s="507">
        <f>IF(AND(Zusatzeingaben!D161&gt;0,Zusatzeingaben!D164=Zusatzeingaben!D161),0,Zusatzeingaben!D205)</f>
        <v>0</v>
      </c>
      <c r="E83" s="507">
        <f>IF(AND(Zusatzeingaben!E161&gt;0,Zusatzeingaben!E164=Zusatzeingaben!E161),0,Zusatzeingaben!E205)</f>
        <v>0</v>
      </c>
      <c r="F83" s="507">
        <f>IF(AND(Zusatzeingaben!F161&gt;0,Zusatzeingaben!F164=Zusatzeingaben!F161),0,Zusatzeingaben!F205)</f>
        <v>0</v>
      </c>
      <c r="G83" s="507">
        <f>IF(AND(Zusatzeingaben!G161&gt;0,Zusatzeingaben!G164=Zusatzeingaben!G161),0,Zusatzeingaben!G205)</f>
        <v>0</v>
      </c>
      <c r="H83" s="507">
        <f>IF(AND(Zusatzeingaben!H161&gt;0,Zusatzeingaben!H164=Zusatzeingaben!H161),0,Zusatzeingaben!H205)</f>
        <v>0</v>
      </c>
      <c r="I83" s="508">
        <f>IF(AND(Zusatzeingaben!I161&gt;0,Zusatzeingaben!I164=Zusatzeingaben!I161),0,Zusatzeingaben!I205)</f>
        <v>0</v>
      </c>
      <c r="K83" s="563"/>
    </row>
    <row r="84" spans="1:11" ht="18" hidden="1" customHeight="1">
      <c r="A84" s="1341"/>
      <c r="B84" s="507"/>
      <c r="C84" s="507">
        <f>IF(AND(Zusatzeingaben!C215&gt;C113,C78&lt;&gt;Zusatzeingaben!C204),C83,0)</f>
        <v>0</v>
      </c>
      <c r="D84" s="507">
        <f>IF(AND(Zusatzeingaben!D215&gt;D113,D78&lt;&gt;Zusatzeingaben!D204),D83,0)</f>
        <v>0</v>
      </c>
      <c r="E84" s="507">
        <f>IF(AND(Zusatzeingaben!E215&gt;E113,E78&lt;&gt;Zusatzeingaben!E204),E83,0)</f>
        <v>0</v>
      </c>
      <c r="F84" s="507">
        <f>IF(AND(Zusatzeingaben!F215&gt;F113,F78&lt;&gt;Zusatzeingaben!F204),F83,0)</f>
        <v>0</v>
      </c>
      <c r="G84" s="507">
        <f>IF(AND(Zusatzeingaben!G215&gt;G113,G78&lt;&gt;Zusatzeingaben!G204),G83,0)</f>
        <v>0</v>
      </c>
      <c r="H84" s="507">
        <f>IF(AND(Zusatzeingaben!H215&gt;H113,H78&lt;&gt;Zusatzeingaben!H204),H83,0)</f>
        <v>0</v>
      </c>
      <c r="I84" s="508">
        <f>IF(AND(Zusatzeingaben!I215&gt;I113,I78&lt;&gt;Zusatzeingaben!I204),I83,0)</f>
        <v>0</v>
      </c>
      <c r="K84" s="563"/>
    </row>
    <row r="85" spans="1:11" ht="18" hidden="1" customHeight="1">
      <c r="A85" s="1341"/>
      <c r="B85" s="507"/>
      <c r="C85" s="507">
        <f>IF(C113=0,Zusatzeingaben!C205,0)</f>
        <v>0</v>
      </c>
      <c r="D85" s="507">
        <f>IF(D113=0,Zusatzeingaben!D205,0)</f>
        <v>0</v>
      </c>
      <c r="E85" s="507">
        <f>IF(E113=0,Zusatzeingaben!E205,0)</f>
        <v>0</v>
      </c>
      <c r="F85" s="507">
        <f>IF(F113=0,Zusatzeingaben!F205,0)</f>
        <v>0</v>
      </c>
      <c r="G85" s="507">
        <f>IF(G113=0,Zusatzeingaben!G205,0)</f>
        <v>0</v>
      </c>
      <c r="H85" s="507">
        <f>IF(H113=0,Zusatzeingaben!H205,0)</f>
        <v>0</v>
      </c>
      <c r="I85" s="508">
        <f>IF(I113=0,Zusatzeingaben!I205,0)</f>
        <v>0</v>
      </c>
      <c r="K85" s="563"/>
    </row>
    <row r="86" spans="1:11" ht="18" hidden="1" customHeight="1">
      <c r="A86" s="1341"/>
      <c r="B86" s="507"/>
      <c r="C86" s="507">
        <f>IF(C85=Zusatzeingaben!C205,C85,C84)</f>
        <v>0</v>
      </c>
      <c r="D86" s="507">
        <f>IF(D85=Zusatzeingaben!D205,D85,D84)</f>
        <v>0</v>
      </c>
      <c r="E86" s="507">
        <f>IF(E85=Zusatzeingaben!E205,E85,E84)</f>
        <v>0</v>
      </c>
      <c r="F86" s="507">
        <f>IF(F85=Zusatzeingaben!F205,F85,F84)</f>
        <v>0</v>
      </c>
      <c r="G86" s="507">
        <f>IF(G85=Zusatzeingaben!G205,G85,G84)</f>
        <v>0</v>
      </c>
      <c r="H86" s="507">
        <f>IF(H85=Zusatzeingaben!H205,H85,H84)</f>
        <v>0</v>
      </c>
      <c r="I86" s="508">
        <f>IF(I85=Zusatzeingaben!I205,I85,I84)</f>
        <v>0</v>
      </c>
    </row>
    <row r="87" spans="1:11" ht="18" customHeight="1">
      <c r="A87" s="976">
        <f>IF(B87&gt;0,"./. Beiträge Krankheit/ Alter/ ZVK",0)</f>
        <v>0</v>
      </c>
      <c r="B87" s="1365">
        <f>SUM(C87:I87)</f>
        <v>0</v>
      </c>
      <c r="C87" s="1016">
        <f>IF(C70=0,0,IF(AND(C114&gt;0,C54&lt;=400),0,IF(AND(C114&gt;0,Zusatzeingaben!C141=0),0,IF(AND(C120=Zusatzeingaben!C189,C61&gt;0,Zusatzeingaben!C189&gt;0),0,C86))))</f>
        <v>0</v>
      </c>
      <c r="D87" s="1016">
        <f>IF(D70=0,0,IF(AND(D114&gt;0,D54&lt;=400),0,IF(AND(D114&gt;0,Zusatzeingaben!D141=0),0,IF(AND(D120=Zusatzeingaben!D189,D61&gt;0,Zusatzeingaben!D189&gt;0),0,D86))))</f>
        <v>0</v>
      </c>
      <c r="E87" s="1016">
        <f>IF(E70=0,0,IF(AND(E114&gt;0,E54&lt;=400),0,IF(AND(E114&gt;0,Zusatzeingaben!E141=0),0,IF(AND(E120=Zusatzeingaben!E189,E61&gt;0,Zusatzeingaben!E189&gt;0),0,E86))))</f>
        <v>0</v>
      </c>
      <c r="F87" s="1016">
        <f>IF(F70=0,0,IF(AND(F114&gt;0,F54&lt;=400),0,IF(AND(F114&gt;0,Zusatzeingaben!F141=0),0,IF(AND(F120=Zusatzeingaben!F189,F61&gt;0,Zusatzeingaben!F189&gt;0),0,F86))))</f>
        <v>0</v>
      </c>
      <c r="G87" s="1016">
        <f>IF(G70=0,0,IF(AND(G114&gt;0,G54&lt;=400),0,IF(AND(G114&gt;0,Zusatzeingaben!G141=0),0,IF(AND(G120=Zusatzeingaben!G189,G61&gt;0,Zusatzeingaben!G189&gt;0),0,G86))))</f>
        <v>0</v>
      </c>
      <c r="H87" s="1016">
        <f>IF(H70=0,0,IF(AND(H114&gt;0,H54&lt;=400),0,IF(AND(H114&gt;0,Zusatzeingaben!H141=0),0,IF(AND(H120=Zusatzeingaben!H189,H61&gt;0,Zusatzeingaben!H189&gt;0),0,H86))))</f>
        <v>0</v>
      </c>
      <c r="I87" s="1017">
        <f>IF(I70=0,0,IF(AND(I114&gt;0,I54&lt;=400),0,IF(AND(I114&gt;0,Zusatzeingaben!I141=0),0,IF(AND(I120=Zusatzeingaben!I189,I61&gt;0,Zusatzeingaben!I189&gt;0),0,I86))))</f>
        <v>0</v>
      </c>
    </row>
    <row r="88" spans="1:11" ht="16.5" hidden="1" customHeight="1">
      <c r="A88" s="1341"/>
      <c r="B88" s="507"/>
      <c r="C88" s="507">
        <f>IF(AND(Zusatzeingaben!C161&gt;0,Zusatzeingaben!C164=Zusatzeingaben!C161),0,Zusatzeingaben!C213)</f>
        <v>0</v>
      </c>
      <c r="D88" s="507">
        <f>IF(AND(Zusatzeingaben!D161&gt;0,Zusatzeingaben!D164=Zusatzeingaben!D161),0,Zusatzeingaben!D213)</f>
        <v>0</v>
      </c>
      <c r="E88" s="507">
        <f>IF(AND(Zusatzeingaben!E161&gt;0,Zusatzeingaben!E164=Zusatzeingaben!E161),0,Zusatzeingaben!E213)</f>
        <v>0</v>
      </c>
      <c r="F88" s="507">
        <f>IF(AND(Zusatzeingaben!F161&gt;0,Zusatzeingaben!F164=Zusatzeingaben!F161),0,Zusatzeingaben!F213)</f>
        <v>0</v>
      </c>
      <c r="G88" s="507">
        <f>IF(AND(Zusatzeingaben!G161&gt;0,Zusatzeingaben!G164=Zusatzeingaben!G161),0,Zusatzeingaben!G213)</f>
        <v>0</v>
      </c>
      <c r="H88" s="507">
        <f>IF(AND(Zusatzeingaben!H161&gt;0,Zusatzeingaben!H164=Zusatzeingaben!H161),0,Zusatzeingaben!H213)</f>
        <v>0</v>
      </c>
      <c r="I88" s="508">
        <f>IF(AND(Zusatzeingaben!I161&gt;0,Zusatzeingaben!I164=Zusatzeingaben!I161),0,Zusatzeingaben!I213)</f>
        <v>0</v>
      </c>
    </row>
    <row r="89" spans="1:11" ht="16.5" hidden="1" customHeight="1">
      <c r="A89" s="1341"/>
      <c r="B89" s="507"/>
      <c r="C89" s="507">
        <f>IF(AND(Zusatzeingaben!C215&gt;C113,C78&lt;&gt;Zusatzeingaben!C204),C88,0)</f>
        <v>0</v>
      </c>
      <c r="D89" s="507">
        <f>IF(AND(Zusatzeingaben!D215&gt;D113,D78&lt;&gt;Zusatzeingaben!D204),D88,0)</f>
        <v>0</v>
      </c>
      <c r="E89" s="507">
        <f>IF(AND(Zusatzeingaben!E215&gt;E113,E78&lt;&gt;Zusatzeingaben!E204),E88,0)</f>
        <v>0</v>
      </c>
      <c r="F89" s="507">
        <f>IF(AND(Zusatzeingaben!F215&gt;F113,F78&lt;&gt;Zusatzeingaben!F204),F88,0)</f>
        <v>0</v>
      </c>
      <c r="G89" s="507">
        <f>IF(AND(Zusatzeingaben!G215&gt;G113,G78&lt;&gt;Zusatzeingaben!G204),G88,0)</f>
        <v>0</v>
      </c>
      <c r="H89" s="507">
        <f>IF(AND(Zusatzeingaben!H215&gt;H113,H78&lt;&gt;Zusatzeingaben!H204),H88,0)</f>
        <v>0</v>
      </c>
      <c r="I89" s="508">
        <f>IF(AND(Zusatzeingaben!I215&gt;I113,I78&lt;&gt;Zusatzeingaben!I204),I88,0)</f>
        <v>0</v>
      </c>
    </row>
    <row r="90" spans="1:11" ht="16.5" hidden="1" customHeight="1">
      <c r="A90" s="1341"/>
      <c r="B90" s="507"/>
      <c r="C90" s="507">
        <f>IF(C113=0,Zusatzeingaben!C213,0)</f>
        <v>0</v>
      </c>
      <c r="D90" s="507">
        <f>IF(D113=0,Zusatzeingaben!D213,0)</f>
        <v>0</v>
      </c>
      <c r="E90" s="507">
        <f>IF(E113=0,Zusatzeingaben!E213,0)</f>
        <v>0</v>
      </c>
      <c r="F90" s="507">
        <f>IF(F113=0,Zusatzeingaben!F213,0)</f>
        <v>0</v>
      </c>
      <c r="G90" s="507">
        <f>IF(G113=0,Zusatzeingaben!G213,0)</f>
        <v>0</v>
      </c>
      <c r="H90" s="507">
        <f>IF(H113=0,Zusatzeingaben!H213,0)</f>
        <v>0</v>
      </c>
      <c r="I90" s="508">
        <f>IF(I113=0,Zusatzeingaben!I213,0)</f>
        <v>0</v>
      </c>
    </row>
    <row r="91" spans="1:11" ht="16.5" hidden="1" customHeight="1">
      <c r="A91" s="1341"/>
      <c r="B91" s="507"/>
      <c r="C91" s="507">
        <f>IF(C90=Zusatzeingaben!C213,C90,C89)</f>
        <v>0</v>
      </c>
      <c r="D91" s="507">
        <f>IF(D90=Zusatzeingaben!D213,D90,D89)</f>
        <v>0</v>
      </c>
      <c r="E91" s="507">
        <f>IF(E90=Zusatzeingaben!E213,E90,E89)</f>
        <v>0</v>
      </c>
      <c r="F91" s="507">
        <f>IF(F90=Zusatzeingaben!F213,F90,F89)</f>
        <v>0</v>
      </c>
      <c r="G91" s="507">
        <f>IF(G90=Zusatzeingaben!G213,G90,G89)</f>
        <v>0</v>
      </c>
      <c r="H91" s="507">
        <f>IF(H90=Zusatzeingaben!H213,H90,H89)</f>
        <v>0</v>
      </c>
      <c r="I91" s="508">
        <f>IF(I90=Zusatzeingaben!I213,I90,I89)</f>
        <v>0</v>
      </c>
    </row>
    <row r="92" spans="1:11">
      <c r="A92" s="976">
        <f>IF(B92&gt;0,"./. Beiträge Riester-Rente",0)</f>
        <v>0</v>
      </c>
      <c r="B92" s="1365">
        <f>SUM(C92:I92)</f>
        <v>0</v>
      </c>
      <c r="C92" s="1016">
        <f>IF(C70=0,0,IF(AND(C114&gt;0,C54&lt;=400),0,IF(AND(C114&gt;0,Zusatzeingaben!C141=0),0,IF(AND(C120=Zusatzeingaben!C189,C61&gt;0,Zusatzeingaben!C189&gt;0),0,C91))))</f>
        <v>0</v>
      </c>
      <c r="D92" s="1016">
        <f>IF(D70=0,0,IF(AND(D114&gt;0,D54&lt;=400),0,IF(AND(D114&gt;0,Zusatzeingaben!D141=0),0,IF(AND(D120=Zusatzeingaben!D189,D61&gt;0,Zusatzeingaben!D189&gt;0),0,D91))))</f>
        <v>0</v>
      </c>
      <c r="E92" s="1016">
        <f>IF(E70=0,0,IF(AND(E114&gt;0,E54&lt;=400),0,IF(AND(E114&gt;0,Zusatzeingaben!E141=0),0,IF(AND(E120=Zusatzeingaben!E189,E61&gt;0,Zusatzeingaben!E189&gt;0),0,E91))))</f>
        <v>0</v>
      </c>
      <c r="F92" s="1016">
        <f>IF(F70=0,0,IF(AND(F114&gt;0,F54&lt;=400),0,IF(AND(F114&gt;0,Zusatzeingaben!F141=0),0,IF(AND(F120=Zusatzeingaben!F189,F61&gt;0,Zusatzeingaben!F189&gt;0),0,F91))))</f>
        <v>0</v>
      </c>
      <c r="G92" s="1016">
        <f>IF(G70=0,0,IF(AND(G114&gt;0,G54&lt;=400),0,IF(AND(G114&gt;0,Zusatzeingaben!G141=0),0,IF(AND(G120=Zusatzeingaben!G189,G61&gt;0,Zusatzeingaben!G189&gt;0),0,G91))))</f>
        <v>0</v>
      </c>
      <c r="H92" s="1016">
        <f>IF(H70=0,0,IF(AND(H114&gt;0,H54&lt;=400),0,IF(AND(H114&gt;0,Zusatzeingaben!H141=0),0,IF(AND(H120=Zusatzeingaben!H189,H61&gt;0,Zusatzeingaben!H189&gt;0),0,H91))))</f>
        <v>0</v>
      </c>
      <c r="I92" s="1017">
        <f>IF(I70=0,0,IF(AND(I114&gt;0,I54&lt;=400),0,IF(AND(I114&gt;0,Zusatzeingaben!I141=0),0,IF(AND(I120=Zusatzeingaben!I189,I61&gt;0,Zusatzeingaben!I189&gt;0),0,I91))))</f>
        <v>0</v>
      </c>
    </row>
    <row r="93" spans="1:11" hidden="1">
      <c r="A93" s="976"/>
      <c r="B93" s="507"/>
      <c r="C93" s="507">
        <f>IF(AND(Zusatzeingaben!C161&gt;0,Zusatzeingaben!C164=Zusatzeingaben!C161),0,Zusatzeingaben!C127)</f>
        <v>0</v>
      </c>
      <c r="D93" s="507">
        <f>IF(AND(Zusatzeingaben!D161&gt;0,Zusatzeingaben!D164=Zusatzeingaben!D161),0,Zusatzeingaben!D127)</f>
        <v>0</v>
      </c>
      <c r="E93" s="507">
        <f>IF(AND(Zusatzeingaben!E161&gt;0,Zusatzeingaben!E164=Zusatzeingaben!E161),0,Zusatzeingaben!E127)</f>
        <v>0</v>
      </c>
      <c r="F93" s="507">
        <f>IF(AND(Zusatzeingaben!F161&gt;0,Zusatzeingaben!F164=Zusatzeingaben!F161),0,Zusatzeingaben!F127)</f>
        <v>0</v>
      </c>
      <c r="G93" s="507">
        <f>IF(AND(Zusatzeingaben!G161&gt;0,Zusatzeingaben!G164=Zusatzeingaben!G161),0,Zusatzeingaben!G127)</f>
        <v>0</v>
      </c>
      <c r="H93" s="507">
        <f>IF(AND(Zusatzeingaben!H161&gt;0,Zusatzeingaben!H164=Zusatzeingaben!H161),0,Zusatzeingaben!H127)</f>
        <v>0</v>
      </c>
      <c r="I93" s="508">
        <f>IF(AND(Zusatzeingaben!I161&gt;0,Zusatzeingaben!I164=Zusatzeingaben!I161),0,Zusatzeingaben!I127)</f>
        <v>0</v>
      </c>
    </row>
    <row r="94" spans="1:11" hidden="1">
      <c r="A94" s="1366"/>
      <c r="B94" s="507"/>
      <c r="C94" s="507">
        <f>IF(AND(Zusatzeingaben!C215&gt;C113,C78&lt;&gt;Zusatzeingaben!C127),C93,0)</f>
        <v>0</v>
      </c>
      <c r="D94" s="507">
        <f>IF(AND(Zusatzeingaben!D215&gt;D113,D78&lt;&gt;Zusatzeingaben!D127),D93,0)</f>
        <v>0</v>
      </c>
      <c r="E94" s="507">
        <f>IF(AND(Zusatzeingaben!E215&gt;E113,E78&lt;&gt;Zusatzeingaben!E127),E93,0)</f>
        <v>0</v>
      </c>
      <c r="F94" s="507">
        <f>IF(AND(Zusatzeingaben!F215&gt;F113,F78&lt;&gt;Zusatzeingaben!F127),F93,0)</f>
        <v>0</v>
      </c>
      <c r="G94" s="507">
        <f>IF(AND(Zusatzeingaben!G215&gt;G113,G78&lt;&gt;Zusatzeingaben!G127),G93,0)</f>
        <v>0</v>
      </c>
      <c r="H94" s="507">
        <f>IF(AND(Zusatzeingaben!H215&gt;H113,H78&lt;&gt;Zusatzeingaben!H127),H93,0)</f>
        <v>0</v>
      </c>
      <c r="I94" s="508">
        <f>IF(AND(Zusatzeingaben!I215&gt;I113,I78&lt;&gt;Zusatzeingaben!I127),I93,0)</f>
        <v>0</v>
      </c>
    </row>
    <row r="95" spans="1:11" hidden="1">
      <c r="A95" s="976"/>
      <c r="B95" s="507"/>
      <c r="C95" s="507">
        <f>IF(C113=0,Zusatzeingaben!C127,0)</f>
        <v>0</v>
      </c>
      <c r="D95" s="507">
        <f>IF(D113=0,Zusatzeingaben!D127,0)</f>
        <v>0</v>
      </c>
      <c r="E95" s="507">
        <f>IF(E113=0,Zusatzeingaben!E127,0)</f>
        <v>0</v>
      </c>
      <c r="F95" s="507">
        <f>IF(F113=0,Zusatzeingaben!F127,0)</f>
        <v>0</v>
      </c>
      <c r="G95" s="507">
        <f>IF(G113=0,Zusatzeingaben!G127,0)</f>
        <v>0</v>
      </c>
      <c r="H95" s="507">
        <f>IF(H113=0,Zusatzeingaben!H127,0)</f>
        <v>0</v>
      </c>
      <c r="I95" s="508">
        <f>IF(I113=0,Zusatzeingaben!I127,0)</f>
        <v>0</v>
      </c>
    </row>
    <row r="96" spans="1:11" hidden="1">
      <c r="A96" s="976"/>
      <c r="B96" s="507"/>
      <c r="C96" s="507">
        <f>IF(C95=Zusatzeingaben!C127,C95,C94)</f>
        <v>0</v>
      </c>
      <c r="D96" s="507">
        <f>IF(D95=Zusatzeingaben!D127,D95,D94)</f>
        <v>0</v>
      </c>
      <c r="E96" s="507">
        <f>IF(E95=Zusatzeingaben!E127,E95,E94)</f>
        <v>0</v>
      </c>
      <c r="F96" s="507">
        <f>IF(F95=Zusatzeingaben!F127,F95,F94)</f>
        <v>0</v>
      </c>
      <c r="G96" s="507">
        <f>IF(G95=Zusatzeingaben!G127,G95,G94)</f>
        <v>0</v>
      </c>
      <c r="H96" s="507">
        <f>IF(H95=Zusatzeingaben!H127,H95,H94)</f>
        <v>0</v>
      </c>
      <c r="I96" s="508">
        <f>IF(I95=Zusatzeingaben!I127,I95,I94)</f>
        <v>0</v>
      </c>
    </row>
    <row r="97" spans="1:9" hidden="1">
      <c r="A97" s="1366"/>
      <c r="B97" s="507"/>
      <c r="C97" s="507">
        <f>IF(Zusatzeingaben!C140=0,0,C96)</f>
        <v>0</v>
      </c>
      <c r="D97" s="507">
        <f>IF(Zusatzeingaben!D140=0,0,D96)</f>
        <v>0</v>
      </c>
      <c r="E97" s="507">
        <f>IF(Zusatzeingaben!E140=0,0,E96)</f>
        <v>0</v>
      </c>
      <c r="F97" s="507">
        <f>IF(Zusatzeingaben!F140=0,0,F96)</f>
        <v>0</v>
      </c>
      <c r="G97" s="507">
        <f>IF(Zusatzeingaben!G140=0,0,G96)</f>
        <v>0</v>
      </c>
      <c r="H97" s="507">
        <f>IF(Zusatzeingaben!H140=0,0,H96)</f>
        <v>0</v>
      </c>
      <c r="I97" s="508">
        <f>IF(Zusatzeingaben!I140=0,0,I96)</f>
        <v>0</v>
      </c>
    </row>
    <row r="98" spans="1:9">
      <c r="A98" s="976">
        <f>IF(B98&gt;0,"./. Fahrtkosten",0)</f>
        <v>0</v>
      </c>
      <c r="B98" s="1335">
        <f>SUM(C98:I98)</f>
        <v>0</v>
      </c>
      <c r="C98" s="1016">
        <f t="shared" ref="C98:I98" si="8">IF(AND(C114&gt;0,C54&lt;=400),0,IF(C75&lt;0,C97+C75,IF(C70=0,0,C97)))</f>
        <v>0</v>
      </c>
      <c r="D98" s="1016">
        <f t="shared" si="8"/>
        <v>0</v>
      </c>
      <c r="E98" s="1016">
        <f t="shared" si="8"/>
        <v>0</v>
      </c>
      <c r="F98" s="1016">
        <f t="shared" si="8"/>
        <v>0</v>
      </c>
      <c r="G98" s="1016">
        <f t="shared" si="8"/>
        <v>0</v>
      </c>
      <c r="H98" s="1016">
        <f t="shared" si="8"/>
        <v>0</v>
      </c>
      <c r="I98" s="1017">
        <f t="shared" si="8"/>
        <v>0</v>
      </c>
    </row>
    <row r="99" spans="1:9" hidden="1">
      <c r="A99" s="976"/>
      <c r="B99" s="522"/>
      <c r="C99" s="507">
        <f>IF(AND(Zusatzeingaben!C161&gt;0,Zusatzeingaben!C164=Zusatzeingaben!C161),0,Zusatzeingaben!C124)</f>
        <v>0</v>
      </c>
      <c r="D99" s="507">
        <f>IF(AND(Zusatzeingaben!D161&gt;0,Zusatzeingaben!D164=Zusatzeingaben!D161),0,Zusatzeingaben!D124)</f>
        <v>0</v>
      </c>
      <c r="E99" s="507">
        <f>IF(AND(Zusatzeingaben!E161&gt;0,Zusatzeingaben!E164=Zusatzeingaben!E161),0,Zusatzeingaben!E124)</f>
        <v>0</v>
      </c>
      <c r="F99" s="507">
        <f>IF(AND(Zusatzeingaben!F161&gt;0,Zusatzeingaben!F164=Zusatzeingaben!F161),0,Zusatzeingaben!F124)</f>
        <v>0</v>
      </c>
      <c r="G99" s="507">
        <f>IF(AND(Zusatzeingaben!G161&gt;0,Zusatzeingaben!G164=Zusatzeingaben!G161),0,Zusatzeingaben!G124)</f>
        <v>0</v>
      </c>
      <c r="H99" s="507">
        <f>IF(AND(Zusatzeingaben!H161&gt;0,Zusatzeingaben!H164=Zusatzeingaben!H161),0,Zusatzeingaben!H124)</f>
        <v>0</v>
      </c>
      <c r="I99" s="508">
        <f>IF(AND(Zusatzeingaben!I161&gt;0,Zusatzeingaben!I164=Zusatzeingaben!I161),0,Zusatzeingaben!I124)</f>
        <v>0</v>
      </c>
    </row>
    <row r="100" spans="1:9" hidden="1">
      <c r="A100" s="1366"/>
      <c r="B100" s="522"/>
      <c r="C100" s="507">
        <f>IF(AND(Zusatzeingaben!C215&gt;C113,C78&lt;&gt;Zusatzeingaben!C124),C99,0)</f>
        <v>0</v>
      </c>
      <c r="D100" s="507">
        <f>IF(AND(Zusatzeingaben!D215&gt;D113,D78&lt;&gt;Zusatzeingaben!D124),D99,0)</f>
        <v>0</v>
      </c>
      <c r="E100" s="507">
        <f>IF(AND(Zusatzeingaben!E215&gt;E113,E78&lt;&gt;Zusatzeingaben!E124),E99,0)</f>
        <v>0</v>
      </c>
      <c r="F100" s="507">
        <f>IF(AND(Zusatzeingaben!F215&gt;F113,F78&lt;&gt;Zusatzeingaben!F124),F99,0)</f>
        <v>0</v>
      </c>
      <c r="G100" s="507">
        <f>IF(AND(Zusatzeingaben!G215&gt;G113,G78&lt;&gt;Zusatzeingaben!G124),G99,0)</f>
        <v>0</v>
      </c>
      <c r="H100" s="507">
        <f>IF(AND(Zusatzeingaben!H215&gt;H113,H78&lt;&gt;Zusatzeingaben!H124),H99,0)</f>
        <v>0</v>
      </c>
      <c r="I100" s="508">
        <f>IF(AND(Zusatzeingaben!I215&gt;I113,I78&lt;&gt;Zusatzeingaben!I124),I99,0)</f>
        <v>0</v>
      </c>
    </row>
    <row r="101" spans="1:9" hidden="1">
      <c r="A101" s="976"/>
      <c r="B101" s="522"/>
      <c r="C101" s="507">
        <f>IF(C113=0,Zusatzeingaben!C124,0)</f>
        <v>0</v>
      </c>
      <c r="D101" s="507">
        <f>IF(D113=0,Zusatzeingaben!D124,0)</f>
        <v>0</v>
      </c>
      <c r="E101" s="507">
        <f>IF(E113=0,Zusatzeingaben!E124,0)</f>
        <v>0</v>
      </c>
      <c r="F101" s="507">
        <f>IF(F113=0,Zusatzeingaben!F124,0)</f>
        <v>0</v>
      </c>
      <c r="G101" s="507">
        <f>IF(G113=0,Zusatzeingaben!G124,0)</f>
        <v>0</v>
      </c>
      <c r="H101" s="507">
        <f>IF(H113=0,Zusatzeingaben!H124,0)</f>
        <v>0</v>
      </c>
      <c r="I101" s="508">
        <f>IF(I113=0,Zusatzeingaben!I124,0)</f>
        <v>0</v>
      </c>
    </row>
    <row r="102" spans="1:9" hidden="1">
      <c r="A102" s="976"/>
      <c r="B102" s="522"/>
      <c r="C102" s="507">
        <f>IF(C101=Zusatzeingaben!C124,C101,C99)</f>
        <v>0</v>
      </c>
      <c r="D102" s="507">
        <f>IF(D101=Zusatzeingaben!D124,D101,D99)</f>
        <v>0</v>
      </c>
      <c r="E102" s="507">
        <f>IF(E101=Zusatzeingaben!E124,E101,E99)</f>
        <v>0</v>
      </c>
      <c r="F102" s="507">
        <f>IF(F101=Zusatzeingaben!F124,F101,F99)</f>
        <v>0</v>
      </c>
      <c r="G102" s="507">
        <f>IF(G101=Zusatzeingaben!G124,G101,G99)</f>
        <v>0</v>
      </c>
      <c r="H102" s="507">
        <f>IF(H101=Zusatzeingaben!H124,H101,H99)</f>
        <v>0</v>
      </c>
      <c r="I102" s="508">
        <f>IF(I101=Zusatzeingaben!I124,I101,I99)</f>
        <v>0</v>
      </c>
    </row>
    <row r="103" spans="1:9" hidden="1">
      <c r="A103" s="1366"/>
      <c r="B103" s="522"/>
      <c r="C103" s="507">
        <f>IF(Zusatzeingaben!C140=0,0,C102)</f>
        <v>0</v>
      </c>
      <c r="D103" s="507">
        <f>IF(Zusatzeingaben!D140=0,0,D102)</f>
        <v>0</v>
      </c>
      <c r="E103" s="507">
        <f>IF(Zusatzeingaben!E140=0,0,E102)</f>
        <v>0</v>
      </c>
      <c r="F103" s="507">
        <f>IF(Zusatzeingaben!F140=0,0,F102)</f>
        <v>0</v>
      </c>
      <c r="G103" s="507">
        <f>IF(Zusatzeingaben!G140=0,0,G102)</f>
        <v>0</v>
      </c>
      <c r="H103" s="507">
        <f>IF(Zusatzeingaben!H140=0,0,H102)</f>
        <v>0</v>
      </c>
      <c r="I103" s="508">
        <f>IF(Zusatzeingaben!I140=0,0,I102)</f>
        <v>0</v>
      </c>
    </row>
    <row r="104" spans="1:9">
      <c r="A104" s="976">
        <f>IF(B104&gt;0,"./. Verpflegungsmehraufwand",0)</f>
        <v>0</v>
      </c>
      <c r="B104" s="1335">
        <f>SUM(C104:I104)</f>
        <v>0</v>
      </c>
      <c r="C104" s="1367">
        <f t="shared" ref="C104:I104" si="9">IF(AND(C114&gt;0,C54&lt;=400),0,IF(C70=0,0,C103))</f>
        <v>0</v>
      </c>
      <c r="D104" s="1367">
        <f t="shared" si="9"/>
        <v>0</v>
      </c>
      <c r="E104" s="1367">
        <f t="shared" si="9"/>
        <v>0</v>
      </c>
      <c r="F104" s="1367">
        <f t="shared" si="9"/>
        <v>0</v>
      </c>
      <c r="G104" s="1367">
        <f t="shared" si="9"/>
        <v>0</v>
      </c>
      <c r="H104" s="1367">
        <f t="shared" si="9"/>
        <v>0</v>
      </c>
      <c r="I104" s="1368">
        <f t="shared" si="9"/>
        <v>0</v>
      </c>
    </row>
    <row r="105" spans="1:9" hidden="1">
      <c r="A105" s="976"/>
      <c r="B105" s="522"/>
      <c r="C105" s="507">
        <f>IF(AND(Zusatzeingaben!C161&gt;0,Zusatzeingaben!C164=Zusatzeingaben!C161),0,Zusatzeingaben!C149)</f>
        <v>0</v>
      </c>
      <c r="D105" s="507">
        <f>IF(AND(Zusatzeingaben!D161&gt;0,Zusatzeingaben!D164=Zusatzeingaben!D161),0,Zusatzeingaben!D149)</f>
        <v>0</v>
      </c>
      <c r="E105" s="507">
        <f>IF(AND(Zusatzeingaben!E161&gt;0,Zusatzeingaben!E164=Zusatzeingaben!E161),0,Zusatzeingaben!E149)</f>
        <v>0</v>
      </c>
      <c r="F105" s="507">
        <f>IF(AND(Zusatzeingaben!F161&gt;0,Zusatzeingaben!F164=Zusatzeingaben!F161),0,Zusatzeingaben!F149)</f>
        <v>0</v>
      </c>
      <c r="G105" s="507">
        <f>IF(AND(Zusatzeingaben!G161&gt;0,Zusatzeingaben!G164=Zusatzeingaben!G161),0,Zusatzeingaben!G149)</f>
        <v>0</v>
      </c>
      <c r="H105" s="507">
        <f>IF(AND(Zusatzeingaben!H161&gt;0,Zusatzeingaben!H164=Zusatzeingaben!H161),0,Zusatzeingaben!H149)</f>
        <v>0</v>
      </c>
      <c r="I105" s="508">
        <f>IF(AND(Zusatzeingaben!I161&gt;0,Zusatzeingaben!I164=Zusatzeingaben!I161),0,Zusatzeingaben!I149)</f>
        <v>0</v>
      </c>
    </row>
    <row r="106" spans="1:9" hidden="1">
      <c r="A106" s="976"/>
      <c r="B106" s="522"/>
      <c r="C106" s="507">
        <f>IF(C113=0,Zusatzeingaben!C149,0)</f>
        <v>0</v>
      </c>
      <c r="D106" s="507">
        <f>IF(D113=0,Zusatzeingaben!D149,0)</f>
        <v>0</v>
      </c>
      <c r="E106" s="507">
        <f>IF(E113=0,Zusatzeingaben!E149,0)</f>
        <v>0</v>
      </c>
      <c r="F106" s="507">
        <f>IF(F113=0,Zusatzeingaben!F149,0)</f>
        <v>0</v>
      </c>
      <c r="G106" s="507">
        <f>IF(G113=0,Zusatzeingaben!G149,0)</f>
        <v>0</v>
      </c>
      <c r="H106" s="507">
        <f>IF(H113=0,Zusatzeingaben!H149,0)</f>
        <v>0</v>
      </c>
      <c r="I106" s="508">
        <f>IF(I113=0,Zusatzeingaben!I149,0)</f>
        <v>0</v>
      </c>
    </row>
    <row r="107" spans="1:9" hidden="1">
      <c r="A107" s="1341"/>
      <c r="B107" s="522"/>
      <c r="C107" s="507">
        <f t="shared" ref="C107:I107" si="10">IF(C106&gt;0,C106,C105)</f>
        <v>0</v>
      </c>
      <c r="D107" s="507">
        <f t="shared" si="10"/>
        <v>0</v>
      </c>
      <c r="E107" s="507">
        <f t="shared" si="10"/>
        <v>0</v>
      </c>
      <c r="F107" s="507">
        <f t="shared" si="10"/>
        <v>0</v>
      </c>
      <c r="G107" s="507">
        <f t="shared" si="10"/>
        <v>0</v>
      </c>
      <c r="H107" s="507">
        <f t="shared" si="10"/>
        <v>0</v>
      </c>
      <c r="I107" s="508">
        <f t="shared" si="10"/>
        <v>0</v>
      </c>
    </row>
    <row r="108" spans="1:9">
      <c r="A108" s="1339">
        <f>IF(B108&gt;0,"./. Werbungskosten bei Erwerbstätigkeit",0)</f>
        <v>0</v>
      </c>
      <c r="B108" s="1335">
        <f>SUM(C108:I108)</f>
        <v>0</v>
      </c>
      <c r="C108" s="507">
        <f>IF(AND(C114&gt;0,C54&lt;=400),0,IF(AND(C58&gt;200,Zusatzeingaben!C159&gt;Zusatzeingaben!C157),Zusatzeingaben!C148,IF(AND($A$57="Gewinn aus selbständiger Tätigkeit",C57&gt;0),0,IF(AND(C54&lt;100,C58&lt;200,C69&gt;0),0,C107))))</f>
        <v>0</v>
      </c>
      <c r="D108" s="507">
        <f>IF(AND(D114&gt;0,D54&lt;=400),0,IF(AND(D58&gt;200,Zusatzeingaben!D159&gt;Zusatzeingaben!D157),Zusatzeingaben!D148,IF(AND($A$57="Gewinn aus selbständiger Tätigkeit",D57&gt;0),0,IF(AND(D54&lt;100,D58&lt;200,D69&gt;0),0,D107))))</f>
        <v>0</v>
      </c>
      <c r="E108" s="507">
        <f>IF(AND(E114&gt;0,E54&lt;=400),0,IF(AND(E58&gt;200,Zusatzeingaben!E159&gt;Zusatzeingaben!E157),Zusatzeingaben!E148,IF(AND($A$57="Gewinn aus selbständiger Tätigkeit",E57&gt;0),0,IF(AND(E54&lt;100,E58&lt;200,E69&gt;0),0,E107))))</f>
        <v>0</v>
      </c>
      <c r="F108" s="507">
        <f>IF(AND(F114&gt;0,F54&lt;=400),0,IF(AND(F58&gt;200,Zusatzeingaben!F159&gt;Zusatzeingaben!F157),Zusatzeingaben!F148,IF(AND($A$57="Gewinn aus selbständiger Tätigkeit",F57&gt;0),0,IF(AND(F54&lt;100,F58&lt;200,F69&gt;0),0,F107))))</f>
        <v>0</v>
      </c>
      <c r="G108" s="507">
        <f>IF(AND(G114&gt;0,G54&lt;=400),0,IF(AND(G58&gt;200,Zusatzeingaben!G159&gt;Zusatzeingaben!G157),Zusatzeingaben!G148,IF(AND($A$57="Gewinn aus selbständiger Tätigkeit",G57&gt;0),0,IF(AND(G54&lt;100,G58&lt;200,G69&gt;0),0,G107))))</f>
        <v>0</v>
      </c>
      <c r="H108" s="507">
        <f>IF(AND(H114&gt;0,H54&lt;=400),0,IF(AND(H58&gt;200,Zusatzeingaben!H159&gt;Zusatzeingaben!H157),Zusatzeingaben!H148,IF(AND($A$57="Gewinn aus selbständiger Tätigkeit",H57&gt;0),0,IF(AND(H54&lt;100,H58&lt;200,H69&gt;0),0,H107))))</f>
        <v>0</v>
      </c>
      <c r="I108" s="508">
        <f>IF(AND(I114&gt;0,I54&lt;=400),0,IF(AND(I58&gt;200,Zusatzeingaben!I159&gt;Zusatzeingaben!I157),Zusatzeingaben!I148,IF(AND($A$57="Gewinn aus selbständiger Tätigkeit",I57&gt;0),0,IF(AND(I54&lt;100,I58&lt;200,I69&gt;0),0,I107))))</f>
        <v>0</v>
      </c>
    </row>
    <row r="109" spans="1:9">
      <c r="A109" s="1339">
        <f>IF(B109&gt;0,"./. notwendige Ausgaben",0)</f>
        <v>0</v>
      </c>
      <c r="B109" s="1335">
        <f>SUM(C109:I109)</f>
        <v>0</v>
      </c>
      <c r="C109" s="507">
        <f>Zusatzeingaben!C218</f>
        <v>0</v>
      </c>
      <c r="D109" s="507">
        <f>Zusatzeingaben!D218</f>
        <v>0</v>
      </c>
      <c r="E109" s="507">
        <f>Zusatzeingaben!E218</f>
        <v>0</v>
      </c>
      <c r="F109" s="507">
        <f>Zusatzeingaben!F218</f>
        <v>0</v>
      </c>
      <c r="G109" s="507">
        <f>Zusatzeingaben!G218</f>
        <v>0</v>
      </c>
      <c r="H109" s="507">
        <f>Zusatzeingaben!H218</f>
        <v>0</v>
      </c>
      <c r="I109" s="508">
        <f>Zusatzeingaben!I218</f>
        <v>0</v>
      </c>
    </row>
    <row r="110" spans="1:9" ht="16.5" hidden="1" customHeight="1">
      <c r="A110" s="1341"/>
      <c r="B110" s="522"/>
      <c r="C110" s="522">
        <f>IF(Zusatzeingaben!C161&gt;200,0,Zusatzeingaben!C161)</f>
        <v>0</v>
      </c>
      <c r="D110" s="522">
        <f>IF(Zusatzeingaben!D161&gt;200,0,Zusatzeingaben!D161)</f>
        <v>0</v>
      </c>
      <c r="E110" s="522">
        <f>IF(Zusatzeingaben!E161&gt;200,0,Zusatzeingaben!E161)</f>
        <v>0</v>
      </c>
      <c r="F110" s="522">
        <f>IF(Zusatzeingaben!F161&gt;200,0,Zusatzeingaben!F161)</f>
        <v>0</v>
      </c>
      <c r="G110" s="522">
        <f>IF(Zusatzeingaben!G161&gt;200,0,Zusatzeingaben!G161)</f>
        <v>0</v>
      </c>
      <c r="H110" s="522">
        <f>IF(Zusatzeingaben!H161&gt;200,0,Zusatzeingaben!H161)</f>
        <v>0</v>
      </c>
      <c r="I110" s="523">
        <f>IF(Zusatzeingaben!I161&gt;200,0,Zusatzeingaben!I161)</f>
        <v>0</v>
      </c>
    </row>
    <row r="111" spans="1:9" ht="16.5" hidden="1" customHeight="1">
      <c r="A111" s="1341"/>
      <c r="B111" s="522"/>
      <c r="C111" s="522">
        <f>IF(AND(Zusatzeingaben!C131+Zusatzeingaben!C139&gt;400,Zusatzeingaben!C160&gt;100,Zusatzeingaben!C138&gt;0,Zusatzeingaben!C159+100&gt;Zusatzeingaben!C160),Zusatzeingaben!C159+100,IF(OR(Zusatzeingaben!C153&gt;100,Zusatzeingaben!C156&gt;100),0,IF(AND(Zusatzeingaben!C180&gt;0,Zusatzeingaben!C191&gt;100+Zusatzeingaben!C190),0,C110)))</f>
        <v>0</v>
      </c>
      <c r="D111" s="522">
        <f>IF(AND(Zusatzeingaben!D131+Zusatzeingaben!D139&gt;400,Zusatzeingaben!D160&gt;100,Zusatzeingaben!D138&gt;0,Zusatzeingaben!D159+100&gt;Zusatzeingaben!D160),Zusatzeingaben!D159+100,IF(OR(Zusatzeingaben!D153&gt;100,Zusatzeingaben!D156&gt;100),0,IF(AND(Zusatzeingaben!D180&gt;0,Zusatzeingaben!D191&gt;100+Zusatzeingaben!D190),0,D110)))</f>
        <v>0</v>
      </c>
      <c r="E111" s="522">
        <f>IF(AND(Zusatzeingaben!E131+Zusatzeingaben!E139&gt;400,Zusatzeingaben!E160&gt;100,Zusatzeingaben!E138&gt;0,Zusatzeingaben!E159+100&gt;Zusatzeingaben!E160),Zusatzeingaben!E159+100,IF(OR(Zusatzeingaben!E153&gt;100,Zusatzeingaben!E156&gt;100),0,IF(AND(Zusatzeingaben!E180&gt;0,Zusatzeingaben!E191&gt;100+Zusatzeingaben!E190),0,E110)))</f>
        <v>0</v>
      </c>
      <c r="F111" s="522">
        <f>IF(AND(Zusatzeingaben!F131+Zusatzeingaben!F139&gt;400,Zusatzeingaben!F160&gt;100,Zusatzeingaben!F138&gt;0,Zusatzeingaben!F159+100&gt;Zusatzeingaben!F160),Zusatzeingaben!F159+100,IF(OR(Zusatzeingaben!F153&gt;100,Zusatzeingaben!F156&gt;100),0,IF(AND(Zusatzeingaben!F180&gt;0,Zusatzeingaben!F191&gt;100+Zusatzeingaben!F190),0,F110)))</f>
        <v>0</v>
      </c>
      <c r="G111" s="522">
        <f>IF(AND(Zusatzeingaben!G131+Zusatzeingaben!G139&gt;400,Zusatzeingaben!G160&gt;100,Zusatzeingaben!G138&gt;0,Zusatzeingaben!G159+100&gt;Zusatzeingaben!G160),Zusatzeingaben!G159+100,IF(OR(Zusatzeingaben!G153&gt;100,Zusatzeingaben!G156&gt;100),0,IF(AND(Zusatzeingaben!G180&gt;0,Zusatzeingaben!G191&gt;100+Zusatzeingaben!G190),0,G110)))</f>
        <v>0</v>
      </c>
      <c r="H111" s="522">
        <f>IF(AND(Zusatzeingaben!H131+Zusatzeingaben!H139&gt;400,Zusatzeingaben!H160&gt;100,Zusatzeingaben!H138&gt;0,Zusatzeingaben!H159+100&gt;Zusatzeingaben!H160),Zusatzeingaben!H159+100,IF(OR(Zusatzeingaben!H153&gt;100,Zusatzeingaben!H156&gt;100),0,IF(AND(Zusatzeingaben!H180&gt;0,Zusatzeingaben!H191&gt;100+Zusatzeingaben!H190),0,H110)))</f>
        <v>0</v>
      </c>
      <c r="I111" s="523">
        <f>IF(AND(Zusatzeingaben!I131+Zusatzeingaben!I139&gt;400,Zusatzeingaben!I160&gt;100,Zusatzeingaben!I138&gt;0,Zusatzeingaben!I159+100&gt;Zusatzeingaben!I160),Zusatzeingaben!I159+100,IF(OR(Zusatzeingaben!I153&gt;100,Zusatzeingaben!I156&gt;100),0,IF(AND(Zusatzeingaben!I180&gt;0,Zusatzeingaben!I191&gt;100+Zusatzeingaben!I190),0,I110)))</f>
        <v>0</v>
      </c>
    </row>
    <row r="112" spans="1:9" ht="16.5" hidden="1" customHeight="1">
      <c r="A112" s="1341"/>
      <c r="B112" s="522"/>
      <c r="C112" s="522">
        <f>IF(OR(Zusatzeingaben!C161=100,Zusatzeingaben!C161=200),Zusatzeingaben!C161,C111)</f>
        <v>0</v>
      </c>
      <c r="D112" s="522">
        <f>IF(OR(Zusatzeingaben!D161=100,Zusatzeingaben!D161=200),Zusatzeingaben!D161,D111)</f>
        <v>0</v>
      </c>
      <c r="E112" s="522">
        <f>IF(OR(Zusatzeingaben!E161=100,Zusatzeingaben!E161=200),Zusatzeingaben!E161,E111)</f>
        <v>0</v>
      </c>
      <c r="F112" s="522">
        <f>IF(OR(Zusatzeingaben!F161=100,Zusatzeingaben!F161=200),Zusatzeingaben!F161,F111)</f>
        <v>0</v>
      </c>
      <c r="G112" s="522">
        <f>IF(OR(Zusatzeingaben!G161=100,Zusatzeingaben!G161=200),Zusatzeingaben!G161,G111)</f>
        <v>0</v>
      </c>
      <c r="H112" s="522">
        <f>IF(OR(Zusatzeingaben!H161=100,Zusatzeingaben!H161=200),Zusatzeingaben!H161,H111)</f>
        <v>0</v>
      </c>
      <c r="I112" s="523">
        <f>IF(OR(Zusatzeingaben!I161=100,Zusatzeingaben!I161=200),Zusatzeingaben!I161,I111)</f>
        <v>0</v>
      </c>
    </row>
    <row r="113" spans="1:64" ht="16.5" customHeight="1">
      <c r="A113" s="976">
        <f>IF(B113&gt;0,"./. Grundfreibetrag Lohn / Ehrenamt",0)</f>
        <v>0</v>
      </c>
      <c r="B113" s="1335">
        <f>SUM(C113:I113)</f>
        <v>0</v>
      </c>
      <c r="C113" s="522">
        <f>IF(AND(Zusatzeingaben!C180&gt;0,Zusatzeingaben!C180&lt;Zusatzeingaben!C191),C112,IF(AND(Zusatzeingaben!C180&gt;0,C111=0,Zusatzeingaben!C191&gt;100),0,IF(C110&lt;100,C110,C112)))</f>
        <v>0</v>
      </c>
      <c r="D113" s="522">
        <f>IF(AND(Zusatzeingaben!D180&gt;0,Zusatzeingaben!D180&lt;Zusatzeingaben!D191),D112,IF(AND(Zusatzeingaben!D180&gt;0,D111=0,Zusatzeingaben!D191&gt;100),0,IF(D110&lt;100,D110,D112)))</f>
        <v>0</v>
      </c>
      <c r="E113" s="522">
        <f>IF(AND(Zusatzeingaben!E180&gt;0,Zusatzeingaben!E180&lt;Zusatzeingaben!E191),E112,IF(AND(Zusatzeingaben!E180&gt;0,E111=0,Zusatzeingaben!E191&gt;100),0,IF(E110&lt;100,E110,E112)))</f>
        <v>0</v>
      </c>
      <c r="F113" s="522">
        <f>IF(AND(Zusatzeingaben!F180&gt;0,Zusatzeingaben!F180&lt;Zusatzeingaben!F191),F112,IF(AND(Zusatzeingaben!F180&gt;0,F111=0,Zusatzeingaben!F191&gt;100),0,IF(F110&lt;100,F110,F112)))</f>
        <v>0</v>
      </c>
      <c r="G113" s="522">
        <f>IF(AND(Zusatzeingaben!G180&gt;0,Zusatzeingaben!G180&lt;Zusatzeingaben!G191),G112,IF(AND(Zusatzeingaben!G180&gt;0,G111=0,Zusatzeingaben!G191&gt;100),0,IF(G110&lt;100,G110,G112)))</f>
        <v>0</v>
      </c>
      <c r="H113" s="522">
        <f>IF(AND(Zusatzeingaben!H180&gt;0,Zusatzeingaben!H180&lt;Zusatzeingaben!H191),H112,IF(AND(Zusatzeingaben!H180&gt;0,H111=0,Zusatzeingaben!H191&gt;100),0,IF(H110&lt;100,H110,H112)))</f>
        <v>0</v>
      </c>
      <c r="I113" s="523">
        <f>IF(AND(Zusatzeingaben!I180&gt;0,Zusatzeingaben!I180&lt;Zusatzeingaben!I191),I112,IF(AND(Zusatzeingaben!I180&gt;0,I111=0,Zusatzeingaben!I191&gt;100),0,IF(I110&lt;100,I110,I112)))</f>
        <v>0</v>
      </c>
    </row>
    <row r="114" spans="1:64" ht="16.5" customHeight="1">
      <c r="A114" s="976">
        <f>IF(B114&gt;0,"./. Freibetrag Freiwilligendienste",0)</f>
        <v>0</v>
      </c>
      <c r="B114" s="1335">
        <f>SUM(C114:I114)</f>
        <v>0</v>
      </c>
      <c r="C114" s="522">
        <f>Zusatzeingaben!C173</f>
        <v>0</v>
      </c>
      <c r="D114" s="522">
        <f>Zusatzeingaben!D173</f>
        <v>0</v>
      </c>
      <c r="E114" s="522">
        <f>Zusatzeingaben!E173</f>
        <v>0</v>
      </c>
      <c r="F114" s="522">
        <f>Zusatzeingaben!F173</f>
        <v>0</v>
      </c>
      <c r="G114" s="522">
        <f>Zusatzeingaben!G173</f>
        <v>0</v>
      </c>
      <c r="H114" s="522">
        <f>Zusatzeingaben!H173</f>
        <v>0</v>
      </c>
      <c r="I114" s="523">
        <f>Zusatzeingaben!I173</f>
        <v>0</v>
      </c>
    </row>
    <row r="115" spans="1:64" ht="16.5" hidden="1" customHeight="1">
      <c r="A115" s="1339"/>
      <c r="B115" s="522"/>
      <c r="C115" s="522">
        <f>IF(AND(Zusatzeingaben!C197&gt;0,C58=0),C54*0.3,IF(AND(Zusatzeingaben!C34="nein",C58=0),C54*0.3,0))</f>
        <v>0</v>
      </c>
      <c r="D115" s="522">
        <f>IF(AND(Zusatzeingaben!D197&gt;0,D58=0),D54*0.3,IF(AND(Zusatzeingaben!D34="nein",D58=0),D54*0.3,0))</f>
        <v>0</v>
      </c>
      <c r="E115" s="522">
        <f>IF(AND(Zusatzeingaben!E18&gt;14,Zusatzeingaben!E34="nein",E58=0),E54*0.3,0)</f>
        <v>0</v>
      </c>
      <c r="F115" s="522">
        <f>IF(AND(Zusatzeingaben!F18&gt;14,Zusatzeingaben!F34="nein",F58=0),F54*0.3,0)</f>
        <v>0</v>
      </c>
      <c r="G115" s="522">
        <f>IF(AND(Zusatzeingaben!G18&gt;14,Zusatzeingaben!G34="nein",G58=0),G54*0.3,0)</f>
        <v>0</v>
      </c>
      <c r="H115" s="522">
        <f>IF(AND(Zusatzeingaben!H18&gt;14,Zusatzeingaben!H34="nein",H58=0),H54*0.3,0)</f>
        <v>0</v>
      </c>
      <c r="I115" s="523">
        <f>IF(AND(Zusatzeingaben!I18&gt;14,Zusatzeingaben!I34="nein",I58=0),I54*0.3,0)</f>
        <v>0</v>
      </c>
      <c r="J115" s="1080"/>
      <c r="K115" s="1080"/>
      <c r="L115" s="1080"/>
      <c r="M115" s="1080"/>
      <c r="N115" s="1080"/>
      <c r="O115" s="1080"/>
      <c r="P115" s="1080"/>
      <c r="Q115" s="1080"/>
      <c r="R115" s="1080"/>
      <c r="S115" s="1080"/>
      <c r="T115" s="1080"/>
      <c r="U115" s="1080"/>
      <c r="V115" s="1080"/>
      <c r="W115" s="1080"/>
      <c r="X115" s="1080"/>
      <c r="Y115" s="1080"/>
      <c r="Z115" s="1080"/>
      <c r="AA115" s="1080"/>
      <c r="AB115" s="1080"/>
      <c r="AC115" s="1080"/>
      <c r="AD115" s="1080"/>
      <c r="AE115" s="1080"/>
      <c r="AF115" s="1080"/>
      <c r="AG115" s="1080"/>
      <c r="AH115" s="1080"/>
      <c r="AI115" s="1080"/>
      <c r="AJ115" s="1080"/>
      <c r="AK115" s="1080"/>
      <c r="AL115" s="1080"/>
      <c r="AM115" s="1080"/>
      <c r="AN115" s="1080"/>
      <c r="AO115" s="1080"/>
      <c r="AP115" s="1080"/>
      <c r="AQ115" s="1080"/>
      <c r="AR115" s="1080"/>
      <c r="AS115" s="1080"/>
      <c r="AT115" s="1080"/>
      <c r="AU115" s="1080"/>
      <c r="AV115" s="1080"/>
      <c r="AW115" s="1080"/>
      <c r="AX115" s="1080"/>
      <c r="AY115" s="1080"/>
      <c r="AZ115" s="1080"/>
      <c r="BA115" s="1080"/>
      <c r="BB115" s="1080"/>
      <c r="BC115" s="1080"/>
      <c r="BD115" s="1080"/>
      <c r="BE115" s="1080"/>
      <c r="BF115" s="1080"/>
      <c r="BG115" s="1080"/>
      <c r="BH115" s="1080"/>
      <c r="BI115" s="1080"/>
      <c r="BJ115" s="1080"/>
      <c r="BK115" s="1080"/>
      <c r="BL115" s="1080"/>
    </row>
    <row r="116" spans="1:64" ht="16.5" hidden="1" customHeight="1">
      <c r="A116" s="1339"/>
      <c r="B116" s="522"/>
      <c r="C116" s="522">
        <f>IF(AND(Zusatzeingaben!C197&gt;0,C115=0,C58&gt;0),0,IF(AND(Zusatzeingaben!C34="nein",C115=0,C58&gt;0),0,IF(C115&gt;0,MIN(C115,Zusatzeingaben!$C$233*0.5),D190)))</f>
        <v>0</v>
      </c>
      <c r="D116" s="522">
        <f>IF(AND(Zusatzeingaben!D197&gt;0,D115=0,D58&gt;0),0,IF(AND(Zusatzeingaben!D34="nein",D115=0,D58&gt;0),0,IF(D115&gt;0,MIN(D115,Zusatzeingaben!$C$233*0.5),D195)))</f>
        <v>0</v>
      </c>
      <c r="E116" s="522">
        <f>IF(AND(Zusatzeingaben!E18&gt;14,Zusatzeingaben!E34="nein",E115=0,E58&gt;0),0,IF(Zusatzeingaben!E18&lt;15,0,IF(E115&gt;0,MIN(E115,Zusatzeingaben!$C$233*0.5),D200)))</f>
        <v>0</v>
      </c>
      <c r="F116" s="522">
        <f>IF(AND(Zusatzeingaben!F18&gt;14,Zusatzeingaben!F34="nein",F115=0,F58&gt;0),0,IF(Zusatzeingaben!F18&lt;15,0,IF(F115&gt;0,MIN(F115,Zusatzeingaben!$C$233*0.5),D205)))</f>
        <v>0</v>
      </c>
      <c r="G116" s="522">
        <f>IF(AND(Zusatzeingaben!G18&gt;14,Zusatzeingaben!G34="nein",G115=0,G58&gt;0),0,IF(Zusatzeingaben!G18&lt;15,0,IF(G115&gt;0,MIN(G115,Zusatzeingaben!$C$233*0.5),D210)))</f>
        <v>0</v>
      </c>
      <c r="H116" s="522">
        <f>IF(AND(Zusatzeingaben!H18&gt;14,Zusatzeingaben!H34="nein",H115=0,H58&gt;0),0,IF(Zusatzeingaben!H18&lt;15,0,IF(H115&gt;0,MIN(H115,Zusatzeingaben!$C$233*0.5),D215)))</f>
        <v>0</v>
      </c>
      <c r="I116" s="523">
        <f>IF(AND(Zusatzeingaben!I18&gt;14,Zusatzeingaben!I34="nein",I115=0,I58&gt;0),0,IF(Zusatzeingaben!I18&lt;15,0,IF(I115&gt;0,MIN(I115,Zusatzeingaben!$C$233*0.5),D220)))</f>
        <v>0</v>
      </c>
      <c r="J116" s="1080"/>
      <c r="K116" s="1080"/>
      <c r="L116" s="1080"/>
      <c r="M116" s="1080"/>
      <c r="N116" s="1080"/>
      <c r="O116" s="1080"/>
      <c r="P116" s="1080"/>
      <c r="Q116" s="1080"/>
      <c r="R116" s="1080"/>
      <c r="S116" s="1080"/>
      <c r="T116" s="1080"/>
      <c r="U116" s="1080"/>
      <c r="V116" s="1080"/>
      <c r="W116" s="1080"/>
      <c r="X116" s="1080"/>
      <c r="Y116" s="1080"/>
      <c r="Z116" s="1080"/>
      <c r="AA116" s="1080"/>
      <c r="AB116" s="1080"/>
      <c r="AC116" s="1080"/>
      <c r="AD116" s="1080"/>
      <c r="AE116" s="1080"/>
      <c r="AF116" s="1080"/>
      <c r="AG116" s="1080"/>
      <c r="AH116" s="1080"/>
      <c r="AI116" s="1080"/>
      <c r="AJ116" s="1080"/>
      <c r="AK116" s="1080"/>
      <c r="AL116" s="1080"/>
      <c r="AM116" s="1080"/>
      <c r="AN116" s="1080"/>
      <c r="AO116" s="1080"/>
      <c r="AP116" s="1080"/>
      <c r="AQ116" s="1080"/>
      <c r="AR116" s="1080"/>
      <c r="AS116" s="1080"/>
      <c r="AT116" s="1080"/>
      <c r="AU116" s="1080"/>
      <c r="AV116" s="1080"/>
      <c r="AW116" s="1080"/>
      <c r="AX116" s="1080"/>
      <c r="AY116" s="1080"/>
      <c r="AZ116" s="1080"/>
      <c r="BA116" s="1080"/>
      <c r="BB116" s="1080"/>
      <c r="BC116" s="1080"/>
      <c r="BD116" s="1080"/>
      <c r="BE116" s="1080"/>
      <c r="BF116" s="1080"/>
      <c r="BG116" s="1080"/>
      <c r="BH116" s="1080"/>
      <c r="BI116" s="1080"/>
      <c r="BJ116" s="1080"/>
      <c r="BK116" s="1080"/>
      <c r="BL116" s="1080"/>
    </row>
    <row r="117" spans="1:64" ht="16.5" customHeight="1">
      <c r="A117" s="1339">
        <f>IF(B117&gt;0,"./. Freibetrag bei Erwerbstätigkeit",0)</f>
        <v>0</v>
      </c>
      <c r="B117" s="1335">
        <f t="shared" ref="B117:B122" si="11">SUM(C117:I117)</f>
        <v>0</v>
      </c>
      <c r="C117" s="522">
        <f t="shared" ref="C117:I117" si="12">IF(C54+C58-C113=0,0,IF(C54+C58-C113-C116&lt;0,C54+C58-C113,C116))</f>
        <v>0</v>
      </c>
      <c r="D117" s="522">
        <f t="shared" si="12"/>
        <v>0</v>
      </c>
      <c r="E117" s="522">
        <f t="shared" si="12"/>
        <v>0</v>
      </c>
      <c r="F117" s="522">
        <f t="shared" si="12"/>
        <v>0</v>
      </c>
      <c r="G117" s="522">
        <f t="shared" si="12"/>
        <v>0</v>
      </c>
      <c r="H117" s="522">
        <f t="shared" si="12"/>
        <v>0</v>
      </c>
      <c r="I117" s="523">
        <f t="shared" si="12"/>
        <v>0</v>
      </c>
      <c r="J117" s="1080"/>
      <c r="K117" s="1080"/>
      <c r="L117" s="1080"/>
      <c r="M117" s="1080"/>
      <c r="N117" s="1080"/>
      <c r="O117" s="1080"/>
      <c r="P117" s="1080"/>
      <c r="Q117" s="1080"/>
      <c r="R117" s="1080"/>
      <c r="S117" s="1080"/>
      <c r="T117" s="1080"/>
      <c r="U117" s="1080"/>
      <c r="V117" s="1080"/>
      <c r="W117" s="1080"/>
      <c r="X117" s="1080"/>
      <c r="Y117" s="1080"/>
      <c r="Z117" s="1080"/>
      <c r="AA117" s="1080"/>
      <c r="AB117" s="1080"/>
      <c r="AC117" s="1080"/>
      <c r="AD117" s="1080"/>
      <c r="AE117" s="1080"/>
      <c r="AF117" s="1080"/>
      <c r="AG117" s="1080"/>
      <c r="AH117" s="1080"/>
      <c r="AI117" s="1080"/>
      <c r="AJ117" s="1080"/>
      <c r="AK117" s="1080"/>
      <c r="AL117" s="1080"/>
      <c r="AM117" s="1080"/>
      <c r="AN117" s="1080"/>
      <c r="AO117" s="1080"/>
      <c r="AP117" s="1080"/>
      <c r="AQ117" s="1080"/>
      <c r="AR117" s="1080"/>
      <c r="AS117" s="1080"/>
      <c r="AT117" s="1080"/>
      <c r="AU117" s="1080"/>
      <c r="AV117" s="1080"/>
      <c r="AW117" s="1080"/>
      <c r="AX117" s="1080"/>
      <c r="AY117" s="1080"/>
      <c r="AZ117" s="1080"/>
      <c r="BA117" s="1080"/>
      <c r="BB117" s="1080"/>
      <c r="BC117" s="1080"/>
      <c r="BD117" s="1080"/>
      <c r="BE117" s="1080"/>
      <c r="BF117" s="1080"/>
      <c r="BG117" s="1080"/>
      <c r="BH117" s="1080"/>
      <c r="BI117" s="1080"/>
      <c r="BJ117" s="1080"/>
      <c r="BK117" s="1080"/>
      <c r="BL117" s="1080"/>
    </row>
    <row r="118" spans="1:64" ht="16.5" customHeight="1">
      <c r="A118" s="1339">
        <f>IF(B118&gt;0,"./. Unterhaltsverpflichtungen",0)</f>
        <v>0</v>
      </c>
      <c r="B118" s="1335">
        <f t="shared" si="11"/>
        <v>0</v>
      </c>
      <c r="C118" s="522">
        <f>IF(C70=0,0,Zusatzeingaben!C219)</f>
        <v>0</v>
      </c>
      <c r="D118" s="522">
        <f>IF(D70=0,0,Zusatzeingaben!D219)</f>
        <v>0</v>
      </c>
      <c r="E118" s="522">
        <f>IF(E70=0,0,Zusatzeingaben!E219)</f>
        <v>0</v>
      </c>
      <c r="F118" s="522">
        <f>IF(F70=0,0,Zusatzeingaben!F219)</f>
        <v>0</v>
      </c>
      <c r="G118" s="522">
        <f>IF(G70=0,0,Zusatzeingaben!G219)</f>
        <v>0</v>
      </c>
      <c r="H118" s="522">
        <f>IF(H70=0,0,Zusatzeingaben!H219)</f>
        <v>0</v>
      </c>
      <c r="I118" s="523">
        <f>IF(I70=0,0,Zusatzeingaben!I219)</f>
        <v>0</v>
      </c>
      <c r="J118" s="1080"/>
      <c r="K118" s="1080"/>
      <c r="L118" s="1080"/>
      <c r="M118" s="1080"/>
      <c r="N118" s="1080"/>
      <c r="O118" s="1080"/>
      <c r="P118" s="1080"/>
      <c r="Q118" s="1080"/>
      <c r="R118" s="1080"/>
      <c r="S118" s="1080"/>
      <c r="T118" s="1080"/>
      <c r="U118" s="1080"/>
      <c r="V118" s="1080"/>
      <c r="W118" s="1080"/>
      <c r="X118" s="1080"/>
      <c r="Y118" s="1080"/>
      <c r="Z118" s="1080"/>
      <c r="AA118" s="1080"/>
      <c r="AB118" s="1080"/>
      <c r="AC118" s="1080"/>
      <c r="AD118" s="1080"/>
      <c r="AE118" s="1080"/>
      <c r="AF118" s="1080"/>
      <c r="AG118" s="1080"/>
      <c r="AH118" s="1080"/>
      <c r="AI118" s="1080"/>
      <c r="AJ118" s="1080"/>
      <c r="AK118" s="1080"/>
      <c r="AL118" s="1080"/>
      <c r="AM118" s="1080"/>
      <c r="AN118" s="1080"/>
      <c r="AO118" s="1080"/>
      <c r="AP118" s="1080"/>
      <c r="AQ118" s="1080"/>
      <c r="AR118" s="1080"/>
      <c r="AS118" s="1080"/>
      <c r="AT118" s="1080"/>
      <c r="AU118" s="1080"/>
      <c r="AV118" s="1080"/>
      <c r="AW118" s="1080"/>
      <c r="AX118" s="1080"/>
      <c r="AY118" s="1080"/>
      <c r="AZ118" s="1080"/>
      <c r="BA118" s="1080"/>
      <c r="BB118" s="1080"/>
      <c r="BC118" s="1080"/>
      <c r="BD118" s="1080"/>
      <c r="BE118" s="1080"/>
      <c r="BF118" s="1080"/>
      <c r="BG118" s="1080"/>
      <c r="BH118" s="1080"/>
      <c r="BI118" s="1080"/>
      <c r="BJ118" s="1080"/>
      <c r="BK118" s="1080"/>
      <c r="BL118" s="1080"/>
    </row>
    <row r="119" spans="1:64" ht="16.5" customHeight="1">
      <c r="A119" s="1369">
        <f>IF(B119&gt;0,"./. Elterngeldfreibetrag",0)</f>
        <v>0</v>
      </c>
      <c r="B119" s="1335">
        <f t="shared" si="11"/>
        <v>0</v>
      </c>
      <c r="C119" s="522">
        <f>Zusatzeingaben!C179</f>
        <v>0</v>
      </c>
      <c r="D119" s="522">
        <f>Zusatzeingaben!D179</f>
        <v>0</v>
      </c>
      <c r="E119" s="522"/>
      <c r="F119" s="522"/>
      <c r="G119" s="1361"/>
      <c r="H119" s="1361"/>
      <c r="I119" s="1370"/>
      <c r="J119" s="1080"/>
      <c r="K119" s="1080"/>
      <c r="L119" s="1080"/>
      <c r="M119" s="1080"/>
      <c r="N119" s="1080"/>
      <c r="O119" s="1080"/>
      <c r="P119" s="1080"/>
      <c r="Q119" s="1080"/>
      <c r="R119" s="1080"/>
      <c r="S119" s="1080"/>
      <c r="T119" s="1080"/>
      <c r="U119" s="1080"/>
      <c r="V119" s="1080"/>
      <c r="W119" s="1080"/>
      <c r="X119" s="1080"/>
      <c r="Y119" s="1080"/>
      <c r="Z119" s="1080"/>
      <c r="AA119" s="1080"/>
      <c r="AB119" s="1080"/>
      <c r="AC119" s="1080"/>
      <c r="AD119" s="1080"/>
      <c r="AE119" s="1080"/>
      <c r="AF119" s="1080"/>
      <c r="AG119" s="1080"/>
      <c r="AH119" s="1080"/>
      <c r="AI119" s="1080"/>
      <c r="AJ119" s="1080"/>
      <c r="AK119" s="1080"/>
      <c r="AL119" s="1080"/>
      <c r="AM119" s="1080"/>
      <c r="AN119" s="1080"/>
      <c r="AO119" s="1080"/>
      <c r="AP119" s="1080"/>
      <c r="AQ119" s="1080"/>
      <c r="AR119" s="1080"/>
      <c r="AS119" s="1080"/>
      <c r="AT119" s="1080"/>
      <c r="AU119" s="1080"/>
      <c r="AV119" s="1080"/>
      <c r="AW119" s="1080"/>
      <c r="AX119" s="1080"/>
      <c r="AY119" s="1080"/>
      <c r="AZ119" s="1080"/>
      <c r="BA119" s="1080"/>
      <c r="BB119" s="1080"/>
      <c r="BC119" s="1080"/>
      <c r="BD119" s="1080"/>
      <c r="BE119" s="1080"/>
      <c r="BF119" s="1080"/>
      <c r="BG119" s="1080"/>
      <c r="BH119" s="1080"/>
      <c r="BI119" s="1080"/>
      <c r="BJ119" s="1080"/>
      <c r="BK119" s="1080"/>
      <c r="BL119" s="1080"/>
    </row>
    <row r="120" spans="1:64" ht="18" customHeight="1">
      <c r="A120" s="1371">
        <f>IF(AND(C120&gt;0,C120=Zusatzeingaben!C189),"./. Grundfreibetrag Ausbildungsförderung",IF(AND(D120&gt;0,D120=Zusatzeingaben!D189),"./. Grundfreibetrag Ausbildungsförderung",IF(AND(E120&gt;0,E120=Zusatzeingaben!E189),"./. Grundfreibetrag Ausbildungsförderung",IF(AND(F120&gt;0,F120=Zusatzeingaben!F189),"./. Grundfreibetrag Ausbildungsförderung",IF(AND(G120&gt;0,G120=Zusatzeingaben!G189),"./. Grundfreibetrag Ausbildungsförderung",IF(AND(H120&gt;0,H120=Zusatzeingaben!H189),"./. Grundfreibetrag Ausbildungsförderung",IF(AND(I120&gt;0,I120=Zusatzeingaben!I189),"./. Grundfreibetrag Ausbildungsförderung",IF(AND(C120&gt;0,C120=Zusatzeingaben!C190),"./. Ausgaben für die Ausbildung",IF(AND(D120&gt;0,D120=Zusatzeingaben!D190),"./. Ausgaben für die Ausbildung",IF(AND(E120&gt;0,E120=Zusatzeingaben!E190),"./. Ausgaben für die Ausbildung",IF(AND(F120&gt;0,F120=Zusatzeingaben!F190),"./. Ausgaben für die Ausbildung",IF(AND(G120&gt;0,G120=Zusatzeingaben!G190),"./. Ausgaben für die Ausbildung",IF(AND(H120&gt;0,H120=Zusatzeingaben!H190),"./. Ausgaben für die Ausbildung",IF(AND(I120&gt;0,I120=Zusatzeingaben!I190),"./. Ausgaben für die Ausbildung",0))))))))))))))</f>
        <v>0</v>
      </c>
      <c r="B120" s="1357">
        <f t="shared" si="11"/>
        <v>0</v>
      </c>
      <c r="C120" s="1024">
        <f>IF(Zusatzeingaben!C191&gt;100,Zusatzeingaben!C190,IF(AND(Zusatzeingaben!C190&gt;0,Zusatzeingaben!C190&gt;Zusatzeingaben!C189),Zusatzeingaben!C190,Zusatzeingaben!C189))</f>
        <v>0</v>
      </c>
      <c r="D120" s="1024">
        <f>IF(Zusatzeingaben!D191&gt;100,Zusatzeingaben!D190,IF(AND(Zusatzeingaben!D190&gt;0,Zusatzeingaben!D190&gt;Zusatzeingaben!D189),Zusatzeingaben!D190,Zusatzeingaben!D189))</f>
        <v>0</v>
      </c>
      <c r="E120" s="1024">
        <f>IF(Zusatzeingaben!E191&gt;100,Zusatzeingaben!E190,IF(AND(Zusatzeingaben!E190&gt;0,Zusatzeingaben!E190&gt;Zusatzeingaben!E189),Zusatzeingaben!E190,Zusatzeingaben!E189))</f>
        <v>0</v>
      </c>
      <c r="F120" s="1024">
        <f>IF(Zusatzeingaben!F191&gt;100,Zusatzeingaben!F190,IF(AND(Zusatzeingaben!F190&gt;0,Zusatzeingaben!F190&gt;Zusatzeingaben!F189),Zusatzeingaben!F190,Zusatzeingaben!F189))</f>
        <v>0</v>
      </c>
      <c r="G120" s="1024">
        <f>IF(Zusatzeingaben!G191&gt;100,Zusatzeingaben!G190,IF(AND(Zusatzeingaben!G190&gt;0,Zusatzeingaben!G190&gt;Zusatzeingaben!G189),Zusatzeingaben!G190,Zusatzeingaben!G189))</f>
        <v>0</v>
      </c>
      <c r="H120" s="1024">
        <f>IF(Zusatzeingaben!H191&gt;100,Zusatzeingaben!H190,IF(AND(Zusatzeingaben!H190&gt;0,Zusatzeingaben!H190&gt;Zusatzeingaben!H189),Zusatzeingaben!H190,Zusatzeingaben!H189))</f>
        <v>0</v>
      </c>
      <c r="I120" s="1025">
        <f>IF(Zusatzeingaben!I191&gt;100,Zusatzeingaben!I190,IF(AND(Zusatzeingaben!I190&gt;0,Zusatzeingaben!I190&gt;Zusatzeingaben!I189),Zusatzeingaben!I190,Zusatzeingaben!I189))</f>
        <v>0</v>
      </c>
      <c r="J120" s="1080"/>
      <c r="K120" s="1080"/>
      <c r="L120" s="1080"/>
      <c r="M120" s="1080"/>
      <c r="N120" s="1080"/>
      <c r="O120" s="1080"/>
      <c r="P120" s="1080"/>
      <c r="Q120" s="1080"/>
      <c r="R120" s="1080"/>
      <c r="S120" s="1080"/>
      <c r="T120" s="1080"/>
      <c r="U120" s="1080"/>
      <c r="V120" s="1080"/>
      <c r="W120" s="1080"/>
      <c r="X120" s="1080"/>
      <c r="Y120" s="1080"/>
      <c r="Z120" s="1080"/>
      <c r="AA120" s="1080"/>
      <c r="AB120" s="1080"/>
      <c r="AC120" s="1080"/>
      <c r="AD120" s="1080"/>
      <c r="AE120" s="1080"/>
      <c r="AF120" s="1080"/>
      <c r="AG120" s="1080"/>
      <c r="AH120" s="1080"/>
      <c r="AI120" s="1080"/>
      <c r="AJ120" s="1080"/>
      <c r="AK120" s="1080"/>
      <c r="AL120" s="1080"/>
      <c r="AM120" s="1080"/>
      <c r="AN120" s="1080"/>
      <c r="AO120" s="1080"/>
      <c r="AP120" s="1080"/>
      <c r="AQ120" s="1080"/>
      <c r="AR120" s="1080"/>
      <c r="AS120" s="1080"/>
      <c r="AT120" s="1080"/>
      <c r="AU120" s="1080"/>
      <c r="AV120" s="1080"/>
      <c r="AW120" s="1080"/>
      <c r="AX120" s="1080"/>
      <c r="AY120" s="1080"/>
      <c r="AZ120" s="1080"/>
      <c r="BA120" s="1080"/>
      <c r="BB120" s="1080"/>
      <c r="BC120" s="1080"/>
      <c r="BD120" s="1080"/>
      <c r="BE120" s="1080"/>
      <c r="BF120" s="1080"/>
      <c r="BG120" s="1080"/>
      <c r="BH120" s="1080"/>
      <c r="BI120" s="1080"/>
      <c r="BJ120" s="1080"/>
      <c r="BK120" s="1080"/>
      <c r="BL120" s="1080"/>
    </row>
    <row r="121" spans="1:64" ht="18" hidden="1" customHeight="1">
      <c r="A121" s="1037"/>
      <c r="B121" s="637">
        <f t="shared" si="11"/>
        <v>0</v>
      </c>
      <c r="C121" s="1261">
        <f t="shared" ref="C121:I121" si="13">C70-C76-C82-C87-C92-C98-C104-C108-C109-C113-C114-C117-C118-C119-C120</f>
        <v>0</v>
      </c>
      <c r="D121" s="1261">
        <f t="shared" si="13"/>
        <v>0</v>
      </c>
      <c r="E121" s="1261">
        <f t="shared" si="13"/>
        <v>0</v>
      </c>
      <c r="F121" s="1261">
        <f t="shared" si="13"/>
        <v>0</v>
      </c>
      <c r="G121" s="1261">
        <f t="shared" si="13"/>
        <v>0</v>
      </c>
      <c r="H121" s="1261">
        <f t="shared" si="13"/>
        <v>0</v>
      </c>
      <c r="I121" s="1372">
        <f t="shared" si="13"/>
        <v>0</v>
      </c>
      <c r="J121" s="1080"/>
      <c r="K121" s="1080"/>
      <c r="L121" s="1080"/>
      <c r="M121" s="1080"/>
      <c r="N121" s="1080"/>
      <c r="O121" s="1080"/>
      <c r="P121" s="1080"/>
      <c r="Q121" s="1080"/>
      <c r="R121" s="1080"/>
      <c r="S121" s="1080"/>
      <c r="T121" s="1080"/>
      <c r="U121" s="1080"/>
      <c r="V121" s="1080"/>
      <c r="W121" s="1080"/>
      <c r="X121" s="1080"/>
      <c r="Y121" s="1080"/>
      <c r="Z121" s="1080"/>
      <c r="AA121" s="1080"/>
      <c r="AB121" s="1080"/>
      <c r="AC121" s="1080"/>
      <c r="AD121" s="1080"/>
      <c r="AE121" s="1080"/>
      <c r="AF121" s="1080"/>
      <c r="AG121" s="1080"/>
      <c r="AH121" s="1080"/>
      <c r="AI121" s="1080"/>
      <c r="AJ121" s="1080"/>
      <c r="AK121" s="1080"/>
      <c r="AL121" s="1080"/>
      <c r="AM121" s="1080"/>
      <c r="AN121" s="1080"/>
      <c r="AO121" s="1080"/>
      <c r="AP121" s="1080"/>
      <c r="AQ121" s="1080"/>
      <c r="AR121" s="1080"/>
      <c r="AS121" s="1080"/>
      <c r="AT121" s="1080"/>
      <c r="AU121" s="1080"/>
      <c r="AV121" s="1080"/>
      <c r="AW121" s="1080"/>
      <c r="AX121" s="1080"/>
      <c r="AY121" s="1080"/>
      <c r="AZ121" s="1080"/>
      <c r="BA121" s="1080"/>
      <c r="BB121" s="1080"/>
      <c r="BC121" s="1080"/>
      <c r="BD121" s="1080"/>
      <c r="BE121" s="1080"/>
      <c r="BF121" s="1080"/>
      <c r="BG121" s="1080"/>
      <c r="BH121" s="1080"/>
      <c r="BI121" s="1080"/>
      <c r="BJ121" s="1080"/>
      <c r="BK121" s="1080"/>
      <c r="BL121" s="1080"/>
    </row>
    <row r="122" spans="1:64" ht="21" customHeight="1">
      <c r="A122" s="1373" t="s">
        <v>2168</v>
      </c>
      <c r="B122" s="1374">
        <f t="shared" si="11"/>
        <v>0</v>
      </c>
      <c r="C122" s="1374">
        <f t="shared" ref="C122:I122" si="14">IF(C121&lt;0,0,C121)</f>
        <v>0</v>
      </c>
      <c r="D122" s="1374">
        <f t="shared" si="14"/>
        <v>0</v>
      </c>
      <c r="E122" s="1374">
        <f t="shared" si="14"/>
        <v>0</v>
      </c>
      <c r="F122" s="1374">
        <f t="shared" si="14"/>
        <v>0</v>
      </c>
      <c r="G122" s="1374">
        <f t="shared" si="14"/>
        <v>0</v>
      </c>
      <c r="H122" s="1374">
        <f t="shared" si="14"/>
        <v>0</v>
      </c>
      <c r="I122" s="1375">
        <f t="shared" si="14"/>
        <v>0</v>
      </c>
      <c r="J122" s="1080"/>
      <c r="K122" s="1080"/>
      <c r="L122" s="1080"/>
      <c r="M122" s="1080"/>
      <c r="N122" s="1080"/>
      <c r="O122" s="1080"/>
      <c r="P122" s="1080"/>
      <c r="Q122" s="1080"/>
      <c r="R122" s="1080"/>
      <c r="S122" s="1080"/>
      <c r="T122" s="1080"/>
      <c r="U122" s="1080"/>
      <c r="V122" s="1080"/>
      <c r="W122" s="1080"/>
      <c r="X122" s="1080"/>
      <c r="Y122" s="1080"/>
      <c r="Z122" s="1080"/>
      <c r="AA122" s="1080"/>
      <c r="AB122" s="1080"/>
      <c r="AC122" s="1080"/>
      <c r="AD122" s="1080"/>
      <c r="AE122" s="1080"/>
      <c r="AF122" s="1080"/>
      <c r="AG122" s="1080"/>
      <c r="AH122" s="1080"/>
      <c r="AI122" s="1080"/>
      <c r="AJ122" s="1080"/>
      <c r="AK122" s="1080"/>
      <c r="AL122" s="1080"/>
      <c r="AM122" s="1080"/>
      <c r="AN122" s="1080"/>
      <c r="AO122" s="1080"/>
      <c r="AP122" s="1080"/>
      <c r="AQ122" s="1080"/>
      <c r="AR122" s="1080"/>
      <c r="AS122" s="1080"/>
      <c r="AT122" s="1080"/>
      <c r="AU122" s="1080"/>
      <c r="AV122" s="1080"/>
      <c r="AW122" s="1080"/>
      <c r="AX122" s="1080"/>
      <c r="AY122" s="1080"/>
      <c r="AZ122" s="1080"/>
      <c r="BA122" s="1080"/>
      <c r="BB122" s="1080"/>
      <c r="BC122" s="1080"/>
      <c r="BD122" s="1080"/>
      <c r="BE122" s="1080"/>
      <c r="BF122" s="1080"/>
      <c r="BG122" s="1080"/>
      <c r="BH122" s="1080"/>
      <c r="BI122" s="1080"/>
      <c r="BJ122" s="1080"/>
      <c r="BK122" s="1080"/>
      <c r="BL122" s="1080"/>
    </row>
    <row r="123" spans="1:64" ht="20.100000000000001" customHeight="1">
      <c r="J123" s="1080"/>
      <c r="K123" s="1080"/>
      <c r="L123" s="1080"/>
      <c r="M123" s="1080"/>
      <c r="N123" s="1080"/>
      <c r="O123" s="1080"/>
      <c r="P123" s="1080"/>
      <c r="Q123" s="1080"/>
      <c r="R123" s="1080"/>
      <c r="S123" s="1080"/>
      <c r="T123" s="1080"/>
      <c r="U123" s="1080"/>
      <c r="V123" s="1080"/>
      <c r="W123" s="1080"/>
      <c r="X123" s="1080"/>
      <c r="Y123" s="1080"/>
      <c r="Z123" s="1080"/>
      <c r="AA123" s="1080"/>
      <c r="AB123" s="1080"/>
      <c r="AC123" s="1080"/>
      <c r="AD123" s="1080"/>
      <c r="AE123" s="1080"/>
      <c r="AF123" s="1080"/>
      <c r="AG123" s="1080"/>
      <c r="AH123" s="1080"/>
      <c r="AI123" s="1080"/>
      <c r="AJ123" s="1080"/>
      <c r="AK123" s="1080"/>
      <c r="AL123" s="1080"/>
      <c r="AM123" s="1080"/>
      <c r="AN123" s="1080"/>
      <c r="AO123" s="1080"/>
      <c r="AP123" s="1080"/>
      <c r="AQ123" s="1080"/>
      <c r="AR123" s="1080"/>
      <c r="AS123" s="1080"/>
      <c r="AT123" s="1080"/>
      <c r="AU123" s="1080"/>
      <c r="AV123" s="1080"/>
      <c r="AW123" s="1080"/>
      <c r="AX123" s="1080"/>
      <c r="AY123" s="1080"/>
      <c r="AZ123" s="1080"/>
      <c r="BA123" s="1080"/>
      <c r="BB123" s="1080"/>
      <c r="BC123" s="1080"/>
      <c r="BD123" s="1080"/>
      <c r="BE123" s="1080"/>
      <c r="BF123" s="1080"/>
      <c r="BG123" s="1080"/>
      <c r="BH123" s="1080"/>
      <c r="BI123" s="1080"/>
      <c r="BJ123" s="1080"/>
      <c r="BK123" s="1080"/>
      <c r="BL123" s="1080"/>
    </row>
    <row r="124" spans="1:64" ht="9.75" hidden="1" customHeight="1"/>
    <row r="125" spans="1:64" ht="21.75" customHeight="1">
      <c r="A125" s="1319"/>
      <c r="B125" s="1320" t="s">
        <v>2169</v>
      </c>
      <c r="C125" s="1316"/>
      <c r="D125" s="1316"/>
      <c r="E125" s="1316"/>
      <c r="F125" s="1316"/>
      <c r="G125" s="1316"/>
      <c r="H125" s="1316"/>
      <c r="I125" s="1321"/>
      <c r="J125" s="1080"/>
      <c r="K125" s="1080"/>
      <c r="L125" s="1080"/>
      <c r="M125" s="1080"/>
      <c r="N125" s="1080"/>
      <c r="O125" s="1080"/>
      <c r="P125" s="1080"/>
      <c r="Q125" s="1080"/>
      <c r="R125" s="1080"/>
      <c r="S125" s="1080"/>
      <c r="T125" s="1080"/>
      <c r="U125" s="1080"/>
      <c r="V125" s="1080"/>
      <c r="W125" s="1080"/>
      <c r="X125" s="1080"/>
      <c r="Y125" s="1080"/>
      <c r="Z125" s="1080"/>
      <c r="AA125" s="1080"/>
      <c r="AB125" s="1080"/>
      <c r="AC125" s="1080"/>
      <c r="AD125" s="1080"/>
      <c r="AE125" s="1080"/>
      <c r="AF125" s="1080"/>
      <c r="AG125" s="1080"/>
      <c r="AH125" s="1080"/>
      <c r="AI125" s="1080"/>
      <c r="AJ125" s="1080"/>
      <c r="AK125" s="1080"/>
      <c r="AL125" s="1080"/>
      <c r="AM125" s="1080"/>
      <c r="AN125" s="1080"/>
      <c r="AO125" s="1080"/>
      <c r="AP125" s="1080"/>
      <c r="AQ125" s="1080"/>
      <c r="AR125" s="1080"/>
      <c r="AS125" s="1080"/>
      <c r="AT125" s="1080"/>
      <c r="AU125" s="1080"/>
      <c r="AV125" s="1080"/>
      <c r="AW125" s="1080"/>
      <c r="AX125" s="1080"/>
      <c r="AY125" s="1080"/>
      <c r="AZ125" s="1080"/>
      <c r="BA125" s="1080"/>
      <c r="BB125" s="1080"/>
      <c r="BC125" s="1080"/>
      <c r="BD125" s="1080"/>
      <c r="BE125" s="1080"/>
      <c r="BF125" s="1080"/>
      <c r="BG125" s="1080"/>
      <c r="BH125" s="1080"/>
      <c r="BI125" s="1080"/>
      <c r="BJ125" s="1080"/>
      <c r="BK125" s="1080"/>
      <c r="BL125" s="1080"/>
    </row>
    <row r="126" spans="1:64" ht="18.75" customHeight="1">
      <c r="A126" s="839"/>
      <c r="B126" s="1322" t="s">
        <v>246</v>
      </c>
      <c r="C126" s="1322" t="str">
        <f>Zusatzeingaben!C4</f>
        <v>Antragsteller</v>
      </c>
      <c r="D126" s="1322" t="str">
        <f>Zusatzeingaben!D4</f>
        <v>Partner(in)</v>
      </c>
      <c r="E126" s="1322" t="str">
        <f>Zusatzeingaben!E4</f>
        <v>Kind 1</v>
      </c>
      <c r="F126" s="1322" t="s">
        <v>145</v>
      </c>
      <c r="G126" s="1322" t="s">
        <v>146</v>
      </c>
      <c r="H126" s="1322" t="s">
        <v>147</v>
      </c>
      <c r="I126" s="1323" t="s">
        <v>148</v>
      </c>
    </row>
    <row r="127" spans="1:64" ht="17.25" customHeight="1">
      <c r="A127" s="1342" t="s">
        <v>127</v>
      </c>
      <c r="B127" s="1335">
        <f>SUM(C127:I127)</f>
        <v>449</v>
      </c>
      <c r="C127" s="1016">
        <f t="shared" ref="C127:I127" si="15">C50</f>
        <v>449</v>
      </c>
      <c r="D127" s="1016">
        <f t="shared" si="15"/>
        <v>0</v>
      </c>
      <c r="E127" s="1016">
        <f t="shared" si="15"/>
        <v>0</v>
      </c>
      <c r="F127" s="1016">
        <f t="shared" si="15"/>
        <v>0</v>
      </c>
      <c r="G127" s="1016">
        <f t="shared" si="15"/>
        <v>0</v>
      </c>
      <c r="H127" s="1016">
        <f t="shared" si="15"/>
        <v>0</v>
      </c>
      <c r="I127" s="1017">
        <f t="shared" si="15"/>
        <v>0</v>
      </c>
    </row>
    <row r="128" spans="1:64" ht="19.5" customHeight="1">
      <c r="A128" s="1376">
        <f>IF(B128&gt;0,"./. Einkommen Kinder",0)</f>
        <v>0</v>
      </c>
      <c r="B128" s="1377">
        <f>SUM(C128:I128)</f>
        <v>0</v>
      </c>
      <c r="C128" s="1378"/>
      <c r="D128" s="1378"/>
      <c r="E128" s="1227">
        <f>E122</f>
        <v>0</v>
      </c>
      <c r="F128" s="1227">
        <f>F122</f>
        <v>0</v>
      </c>
      <c r="G128" s="1227">
        <f>G122</f>
        <v>0</v>
      </c>
      <c r="H128" s="1227">
        <f>H122</f>
        <v>0</v>
      </c>
      <c r="I128" s="1228">
        <f>I122</f>
        <v>0</v>
      </c>
    </row>
    <row r="129" spans="1:11" ht="17.25" hidden="1" customHeight="1">
      <c r="A129" s="1379"/>
      <c r="B129" s="1380"/>
      <c r="C129" s="1380"/>
      <c r="D129" s="1380"/>
      <c r="E129" s="507">
        <f>E127-E128</f>
        <v>0</v>
      </c>
      <c r="F129" s="507">
        <f>F127-F128</f>
        <v>0</v>
      </c>
      <c r="G129" s="507">
        <f>G127-G128</f>
        <v>0</v>
      </c>
      <c r="H129" s="507">
        <f>H127-H128</f>
        <v>0</v>
      </c>
      <c r="I129" s="508">
        <f>I127-I128</f>
        <v>0</v>
      </c>
    </row>
    <row r="130" spans="1:11" ht="17.25" hidden="1" customHeight="1">
      <c r="A130" s="833"/>
      <c r="B130" s="869"/>
      <c r="C130" s="899"/>
      <c r="D130" s="899"/>
      <c r="E130" s="899">
        <f>IF(E129&lt;0,0,E129)</f>
        <v>0</v>
      </c>
      <c r="F130" s="899">
        <f>IF(F129&lt;0,0,F129)</f>
        <v>0</v>
      </c>
      <c r="G130" s="899">
        <f>IF(G129&lt;0,0,G129)</f>
        <v>0</v>
      </c>
      <c r="H130" s="899">
        <f>IF(H129&lt;0,0,H129)</f>
        <v>0</v>
      </c>
      <c r="I130" s="900">
        <f>IF(I129&lt;0,0,I129)</f>
        <v>0</v>
      </c>
    </row>
    <row r="131" spans="1:11" ht="19.5" customHeight="1">
      <c r="A131" s="1342" t="s">
        <v>2170</v>
      </c>
      <c r="B131" s="1335">
        <f>SUM(C131:I131)</f>
        <v>449</v>
      </c>
      <c r="C131" s="1016">
        <f>C127</f>
        <v>449</v>
      </c>
      <c r="D131" s="1016">
        <f>D127</f>
        <v>0</v>
      </c>
      <c r="E131" s="1016">
        <f>E130</f>
        <v>0</v>
      </c>
      <c r="F131" s="1016">
        <f>F130</f>
        <v>0</v>
      </c>
      <c r="G131" s="1016">
        <f>G130</f>
        <v>0</v>
      </c>
      <c r="H131" s="1016">
        <f>H130</f>
        <v>0</v>
      </c>
      <c r="I131" s="1017">
        <f>I130</f>
        <v>0</v>
      </c>
      <c r="K131" s="1154"/>
    </row>
    <row r="132" spans="1:11" ht="18" hidden="1" customHeight="1">
      <c r="A132" s="1342"/>
      <c r="B132" s="1335">
        <f>SUM(C132:I132)</f>
        <v>449</v>
      </c>
      <c r="C132" s="1016">
        <f>IF(C10="ja",C131,0)</f>
        <v>449</v>
      </c>
      <c r="D132" s="1016">
        <f>IF(D10="ja",D131,0)</f>
        <v>0</v>
      </c>
      <c r="E132" s="1016">
        <f>IF(AND(Zusatzeingaben!E37=0,E10="ja"),E131,0)</f>
        <v>0</v>
      </c>
      <c r="F132" s="1016">
        <f>IF(F10="ja",F131,0)</f>
        <v>0</v>
      </c>
      <c r="G132" s="1016">
        <f>IF(G10="ja",G131,0)</f>
        <v>0</v>
      </c>
      <c r="H132" s="1016">
        <f>IF(H10="ja",H131,0)</f>
        <v>0</v>
      </c>
      <c r="I132" s="1017">
        <f>IF(I10="ja",I131,0)</f>
        <v>0</v>
      </c>
    </row>
    <row r="133" spans="1:11" ht="17.25" customHeight="1">
      <c r="A133" s="1382" t="s">
        <v>2171</v>
      </c>
      <c r="B133" s="1383">
        <f>SUM(C133:I133)</f>
        <v>1</v>
      </c>
      <c r="C133" s="1384">
        <f>IF(AND(B132&gt;0,C10="ja"),C132/B132,0)</f>
        <v>1</v>
      </c>
      <c r="D133" s="1384">
        <f t="shared" ref="D133:I133" si="16">IF(AND($B$132&gt;0,D11&gt;0,D10="ja"),D132/$B$132,0)</f>
        <v>0</v>
      </c>
      <c r="E133" s="1384">
        <f t="shared" si="16"/>
        <v>0</v>
      </c>
      <c r="F133" s="1384">
        <f t="shared" si="16"/>
        <v>0</v>
      </c>
      <c r="G133" s="1384">
        <f t="shared" si="16"/>
        <v>0</v>
      </c>
      <c r="H133" s="1384">
        <f t="shared" si="16"/>
        <v>0</v>
      </c>
      <c r="I133" s="1385">
        <f t="shared" si="16"/>
        <v>0</v>
      </c>
    </row>
    <row r="134" spans="1:11" ht="19.5" hidden="1" customHeight="1">
      <c r="A134" s="1386"/>
      <c r="B134" s="1335"/>
      <c r="C134" s="1384"/>
      <c r="D134" s="1384"/>
      <c r="E134" s="522">
        <f>IF(E129&lt;0,E129,0)</f>
        <v>0</v>
      </c>
      <c r="F134" s="522">
        <f>IF(F129&lt;0,F129,0)</f>
        <v>0</v>
      </c>
      <c r="G134" s="522">
        <f>IF(G129&lt;0,G129,0)</f>
        <v>0</v>
      </c>
      <c r="H134" s="522">
        <f>IF(H129&lt;0,H129,0)</f>
        <v>0</v>
      </c>
      <c r="I134" s="523">
        <f>IF(I129&lt;0,I129,0)</f>
        <v>0</v>
      </c>
    </row>
    <row r="135" spans="1:11" hidden="1">
      <c r="A135" s="1387"/>
      <c r="B135" s="1249"/>
      <c r="C135" s="637"/>
      <c r="D135" s="637"/>
      <c r="E135" s="637">
        <f>IF(E134&lt;-E62,-E62,E134)</f>
        <v>0</v>
      </c>
      <c r="F135" s="637">
        <f>IF(F134&lt;-F62,-F62,F134)</f>
        <v>0</v>
      </c>
      <c r="G135" s="637">
        <f>IF(G134&lt;-G62,-G62,G134)</f>
        <v>0</v>
      </c>
      <c r="H135" s="637">
        <f>IF(H134&lt;-H62,-H62,H134)</f>
        <v>0</v>
      </c>
      <c r="I135" s="638">
        <f>IF(I134&lt;-I62,-I62,I134)</f>
        <v>0</v>
      </c>
    </row>
    <row r="136" spans="1:11" ht="19.5" hidden="1" customHeight="1">
      <c r="A136" s="1387"/>
      <c r="B136" s="1249"/>
      <c r="C136" s="637"/>
      <c r="D136" s="637"/>
      <c r="E136" s="637">
        <f>-E135*1</f>
        <v>0</v>
      </c>
      <c r="F136" s="637">
        <f>-F135*1</f>
        <v>0</v>
      </c>
      <c r="G136" s="637">
        <f>-G135*1</f>
        <v>0</v>
      </c>
      <c r="H136" s="637">
        <f>-H135*1</f>
        <v>0</v>
      </c>
      <c r="I136" s="638">
        <f>-I135*1</f>
        <v>0</v>
      </c>
    </row>
    <row r="137" spans="1:11" ht="18" customHeight="1">
      <c r="A137" s="1388">
        <f>IF(C137&gt;0,"übertragbares Kindergeld",0)</f>
        <v>0</v>
      </c>
      <c r="B137" s="1389"/>
      <c r="C137" s="1390">
        <f>SUM(E136:I136)</f>
        <v>0</v>
      </c>
      <c r="D137" s="1391"/>
      <c r="E137" s="1391"/>
      <c r="F137" s="1391"/>
      <c r="G137" s="1391"/>
      <c r="H137" s="1391"/>
      <c r="I137" s="1392"/>
    </row>
    <row r="138" spans="1:11" ht="19.5" hidden="1" customHeight="1">
      <c r="A138" s="1388"/>
      <c r="B138" s="1380"/>
      <c r="C138" s="1390">
        <f>IF(AND(C122=0,C137&gt;0),30+Zusatzeingaben!C204+Zusatzeingaben!C205+Zusatzeingaben!C213,0)</f>
        <v>0</v>
      </c>
      <c r="D138" s="1390">
        <f>IF(AND(D122=0,D137&gt;0),30+Zusatzeingaben!D204+Zusatzeingaben!D205+Zusatzeingaben!D213,0)</f>
        <v>0</v>
      </c>
      <c r="E138" s="1390">
        <f>IF(AND(E122=0,E137&gt;0),30+Zusatzeingaben!E204+Zusatzeingaben!E205+Zusatzeingaben!E213,0)</f>
        <v>0</v>
      </c>
      <c r="F138" s="1390">
        <f>IF(AND(F122=0,F137&gt;0),30+Zusatzeingaben!F204+Zusatzeingaben!F205+Zusatzeingaben!F213,0)</f>
        <v>0</v>
      </c>
      <c r="G138" s="1390">
        <f>IF(AND(G122=0,G137&gt;0),30+Zusatzeingaben!G204+Zusatzeingaben!G205+Zusatzeingaben!G213,0)</f>
        <v>0</v>
      </c>
      <c r="H138" s="1390">
        <f>IF(AND(H122=0,H137&gt;0),30+Zusatzeingaben!H204+Zusatzeingaben!H205+Zusatzeingaben!H213,0)</f>
        <v>0</v>
      </c>
      <c r="I138" s="1390">
        <f>IF(AND(I122=0,I137&gt;0),30+Zusatzeingaben!I204+Zusatzeingaben!I205+Zusatzeingaben!I213,0)</f>
        <v>0</v>
      </c>
    </row>
    <row r="139" spans="1:11" ht="19.5" hidden="1" customHeight="1">
      <c r="A139" s="1388"/>
      <c r="B139" s="1380"/>
      <c r="C139" s="1390">
        <f>C137-C138</f>
        <v>0</v>
      </c>
      <c r="D139" s="1391"/>
      <c r="E139" s="1391"/>
      <c r="F139" s="1391"/>
      <c r="G139" s="1391"/>
      <c r="H139" s="1391"/>
      <c r="I139" s="1392"/>
    </row>
    <row r="140" spans="1:11" ht="19.5" hidden="1" customHeight="1">
      <c r="A140" s="1388"/>
      <c r="B140" s="1380"/>
      <c r="C140" s="1390">
        <f>IF(C139&lt;0,0,C139)</f>
        <v>0</v>
      </c>
      <c r="D140" s="1391"/>
      <c r="E140" s="1391"/>
      <c r="F140" s="1391"/>
      <c r="G140" s="1391"/>
      <c r="H140" s="1391"/>
      <c r="I140" s="1392"/>
    </row>
    <row r="141" spans="1:11" ht="17.25" customHeight="1">
      <c r="A141" s="1382" t="s">
        <v>175</v>
      </c>
      <c r="B141" s="1394">
        <f>C141+D141</f>
        <v>0</v>
      </c>
      <c r="C141" s="522">
        <f>C122+C140</f>
        <v>0</v>
      </c>
      <c r="D141" s="522">
        <f>D122</f>
        <v>0</v>
      </c>
      <c r="E141" s="1395"/>
      <c r="F141" s="1395"/>
      <c r="G141" s="1395"/>
      <c r="H141" s="1395"/>
      <c r="I141" s="1396"/>
    </row>
    <row r="142" spans="1:11" hidden="1">
      <c r="A142" s="1037"/>
      <c r="B142" s="981"/>
      <c r="C142" s="637">
        <f>C127-C141</f>
        <v>449</v>
      </c>
      <c r="D142" s="637">
        <f>D127-D141</f>
        <v>0</v>
      </c>
      <c r="E142" s="981"/>
      <c r="F142" s="981"/>
      <c r="G142" s="981"/>
      <c r="H142" s="981"/>
      <c r="I142" s="1397"/>
    </row>
    <row r="143" spans="1:11" hidden="1">
      <c r="A143" s="1037"/>
      <c r="B143" s="981"/>
      <c r="C143" s="637">
        <f>-1*C142</f>
        <v>-449</v>
      </c>
      <c r="D143" s="637">
        <f>-1*D142</f>
        <v>0</v>
      </c>
      <c r="E143" s="981"/>
      <c r="F143" s="981"/>
      <c r="G143" s="981"/>
      <c r="H143" s="981"/>
      <c r="I143" s="1397"/>
    </row>
    <row r="144" spans="1:11" hidden="1">
      <c r="A144" s="1037"/>
      <c r="B144" s="981"/>
      <c r="C144" s="637">
        <f>IF(C143&gt;0,C143,0)</f>
        <v>0</v>
      </c>
      <c r="D144" s="637">
        <f>IF(D143&gt;0,D143,0)</f>
        <v>0</v>
      </c>
      <c r="E144" s="637"/>
      <c r="F144" s="637"/>
      <c r="G144" s="637"/>
      <c r="H144" s="637"/>
      <c r="I144" s="638"/>
    </row>
    <row r="145" spans="1:64">
      <c r="A145" s="1382">
        <f>IF(B145&gt;0,"./. nicht verteilbares Einkommen",0)</f>
        <v>0</v>
      </c>
      <c r="B145" s="1335">
        <f>C145+D145</f>
        <v>0</v>
      </c>
      <c r="C145" s="522">
        <f>IF(AND($B$7&gt;2,D133&gt;0,C133=0,SUM(D131:$I$131)&lt;D141),C141,IF(OR(C10="nur Mehrbedarf",C10="nein"),C141-C146,0))</f>
        <v>0</v>
      </c>
      <c r="D145" s="522">
        <f>IF(AND($B$7&gt;2,C133&gt;0,D133=0,C131+SUM($E$131:$I$131)&lt;C141),D141,IF(OR(D10="nur Mehrbedarf",D10="nein"),D141-D146,0))</f>
        <v>0</v>
      </c>
      <c r="E145" s="522"/>
      <c r="F145" s="522"/>
      <c r="G145" s="522"/>
      <c r="H145" s="522"/>
      <c r="I145" s="523"/>
    </row>
    <row r="146" spans="1:64" ht="17.25" customHeight="1">
      <c r="A146" s="1342" t="s">
        <v>2229</v>
      </c>
      <c r="B146" s="1383">
        <f>C146+D146</f>
        <v>0</v>
      </c>
      <c r="C146" s="522">
        <f>IF(AND($B$7&gt;2,D133&gt;0,C133=0,SUM(D131:$I$131)&lt;D141),0,IF(AND(C10="nur Mehrbedarf",C141&lt;C131+C150),0,IF(AND(C10="nur Mehrbedarf",C144&gt;C150),C144-C150,IF(AND(C10="nein",C144&gt;0),C144,IF(AND(C10="nur Mehrbedarf",C144=0),0,IF(AND(C10="nein",C144=0),0,C141))))))</f>
        <v>0</v>
      </c>
      <c r="D146" s="522">
        <f>IF(AND($B$7&gt;2,C133&gt;0,D133=0,C131+SUM($E$131:$I$131)&lt;C141),0,IF(AND(D10="nur Mehrbedarf",D141&lt;D131+D150),0,IF(AND(D10="nur Mehrbedarf",D144&gt;D150),D144-D150,IF(AND(D10="nein",D144&gt;0),D144,IF(AND(D10="nur Mehrbedarf",D144=0),0,IF(AND(D10="nein",D144=0),0,D141))))))</f>
        <v>0</v>
      </c>
      <c r="E146" s="889"/>
      <c r="F146" s="889"/>
      <c r="G146" s="889"/>
      <c r="H146" s="889"/>
      <c r="I146" s="1398"/>
    </row>
    <row r="147" spans="1:64" ht="17.25" hidden="1" customHeight="1">
      <c r="A147" s="1399"/>
      <c r="B147" s="1361">
        <f>SUM(C147:I147)</f>
        <v>0</v>
      </c>
      <c r="C147" s="522">
        <f>IF(AND($B$133=0,D131=0),C146,IF(AND($B$133=0,D146&gt;0,C131&gt;0),D146,IF(AND($B$7&gt;2,C133=0,D133=0,D146+C145&lt;C131),D146,IF(AND($B$7&gt;2,C133=0,D133=0,D146+C145&gt;C131),C131+D131-B145,IF(AND($B$7=2,C133&gt;0,D10="nur Mehrbedarf",D150+D131&gt;D141,C141&gt;C131),C131,$B$146*C133)))))</f>
        <v>0</v>
      </c>
      <c r="D147" s="522">
        <f>IF(AND($B$133=0,C131=0),D146,IF(AND($B$133=0,C146&gt;0,D131&gt;0),C146,IF(AND($B$7&gt;2,D131&gt;0,D133=0,C133=0,C146+D145&lt;D131),C146,IF(AND(B7&gt;2,D131&gt;0,C133=0,D133=0,C146+D145&gt;D131),C131+D131-B145,IF(AND($B$7=2,C10="nur Mehrbedarf",D133&gt;0,C150+C131&gt;C141,D141&gt;D131),D131,$B$146*D133)))))</f>
        <v>0</v>
      </c>
      <c r="E147" s="522">
        <f>IF(AND($C$150&gt;0,$C$146=0,$B$146*E133&gt;E131,$D$146&lt;$D$131+SUM($E$131:$I$131)),E131,IF(AND($D$150&gt;0,$D$146=0,$B$146*E133&gt;E131,$C$146&lt;$C$131+SUM($E$131:$I$131)),E131,IF(AND($B$7&gt;2,$C$133=0,$D$133=0,$C$131+$D$131&gt;$B$141),0,IF(AND($B$7&gt;2,E131&gt;0,$C$133=0,$D$133=0,$C$131+$D$131&lt;$B$141),($B$141-($C$131+$D$131))*E133,$B$146*E133))))</f>
        <v>0</v>
      </c>
      <c r="F147" s="522">
        <f>IF(AND($C$150&gt;0,$C$146=0,$B$146*F133&gt;F131,$D$146&lt;$D$131+SUM($E$131:$I$131)),F131,IF(AND($D$150&gt;0,$D$146=0,$B$146*F133&gt;F131,$C$146&lt;$C$131+SUM($E$131:$I$131)),F131,IF(AND($B$7&gt;2,$C$133=0,$D$133=0,$C$131+$D$131&gt;$B$141),0,IF(AND($B$7&gt;2,F131&gt;0,$C$133=0,$D$133=0,$C$131+$D$131&lt;$B$141),($B$141-($C$131+$D$131))*F133,$B$146*F133))))</f>
        <v>0</v>
      </c>
      <c r="G147" s="522">
        <f>IF(AND($C$150&gt;0,$C$146=0,$B$146*G133&gt;G131,$D$146&lt;$D$131+SUM($E$131:$I$131)),G131,IF(AND($D$150&gt;0,$D$146=0,$B$146*G133&gt;G131,$C$146&lt;$C$131+SUM($E$131:$I$131)),G131,IF(AND($B$7&gt;2,$C$133=0,$D$133=0,$C$131+$D$131&gt;$B$141),0,IF(AND($B$7&gt;2,G131&gt;0,$C$133=0,$D$133=0,$C$131+$D$131&lt;$B$141),($B$141-($C$131+$D$131))*G133,$B$146*G133))))</f>
        <v>0</v>
      </c>
      <c r="H147" s="522">
        <f>IF(AND($C$150&gt;0,$C$146=0,$B$146*H133&gt;H131,$D$146&lt;$D$131+SUM($E$131:$I$131)),H131,IF(AND($D$150&gt;0,$D$146=0,$B$146*H133&gt;H131,$C$146&lt;$C$131+SUM($E$131:$I$131)),H131,IF(AND($B$7&gt;2,$C$133=0,$D$133=0,$C$131+$D$131&gt;$B$141),0,IF(AND($B$7&gt;2,H131&gt;0,$C$133=0,$D$133=0,$C$131+$D$131&lt;$B$141),($B$141-($C$131+$D$131))*H133,$B$146*H133))))</f>
        <v>0</v>
      </c>
      <c r="I147" s="522">
        <f>IF(AND($C$150&gt;0,$C$146=0,$B$146*I133&gt;I131,$D$146&lt;$D$131+SUM($E$131:$I$131)),I131,IF(AND($D$150&gt;0,$D$146=0,$B$146*I133&gt;I131,$C$146&lt;$C$131+SUM($E$131:$I$131)),I131,IF(AND($B$7&gt;2,$C$133=0,$D$133=0,$C$131+$D$131&gt;$B$141),0,IF(AND($B$7&gt;2,I131&gt;0,$C$133=0,$D$133=0,$C$131+$D$131&lt;$B$141),($B$141-($C$131+$D$131))*I133,$B$146*I133))))</f>
        <v>0</v>
      </c>
    </row>
    <row r="148" spans="1:64" ht="18.75" customHeight="1">
      <c r="A148" s="1376" t="s">
        <v>2230</v>
      </c>
      <c r="B148" s="1357">
        <f>SUM(C148:I148)</f>
        <v>0</v>
      </c>
      <c r="C148" s="1400">
        <f>IF(C147&lt;0,0,IF(AND(C150&gt;0,D146&gt;0,D146&lt;&gt;C147,C146&gt;0,C145&lt;C131+C150),C146+C147,IF(AND(D133&gt;0,C133=0,D146&gt;D147+E147+F147+G147+H147+I147),D146-D147-E147-F147-G147-H147-I147,IF(AND($B$7=2,$B$133=0,C146&gt;0,D146&gt;0),C146,IF(AND($B$7&gt;2,C133+D133=0,C146&gt;0,D146&gt;0),($B$146-E147-F147-G147-H147-I147)*C131/(C131+D131),C147)))))</f>
        <v>0</v>
      </c>
      <c r="D148" s="1400">
        <f>IF(D147&lt;0,0,IF(AND(D150&gt;0,C146&gt;0,C146&lt;&gt;D147,D146&gt;0,D145&lt;D131+D150),D146+D147,IF(AND(C133&gt;0,D133=0,C146&gt;C147+E147+F147+G147+H147+I147),C146-C147-E147-F147-G147-H147-I147,IF(AND($B$7=2,$B$133=0,C146&gt;0,D146&gt;0),D146,IF(AND($B$7&gt;2,C133+D133=0,C146&gt;0,D146&gt;0),($B$146-E147-F147-G147-H147-I147)*D131/(C131+D131),D147)))))</f>
        <v>0</v>
      </c>
      <c r="E148" s="1401">
        <f>IF(AND($C$147=0,$D$147=0,$B$147&lt;$B$146),$B$146*E133,E147)</f>
        <v>0</v>
      </c>
      <c r="F148" s="1401">
        <f>IF(AND($C$147=0,$D$147=0,$B$147&lt;$B$146),$B$146*F133,F147)</f>
        <v>0</v>
      </c>
      <c r="G148" s="1401">
        <f>IF(AND($C$147=0,$D$147=0,$B$147&lt;$B$146),$B$146*G133,G147)</f>
        <v>0</v>
      </c>
      <c r="H148" s="1401">
        <f>IF(AND($C$147=0,$D$147=0,$B$147&lt;$B$146),$B$146*H133,H147)</f>
        <v>0</v>
      </c>
      <c r="I148" s="1402">
        <f>IF(AND($C$147=0,$D$147=0,$B$147&lt;$B$146),$B$146*I133,I147)</f>
        <v>0</v>
      </c>
    </row>
    <row r="149" spans="1:64" ht="19.5" customHeight="1">
      <c r="A149" s="1403" t="s">
        <v>2172</v>
      </c>
      <c r="B149" s="1365">
        <f>SUM(C149:I149)</f>
        <v>449</v>
      </c>
      <c r="C149" s="1365">
        <f>C131-C145-C148</f>
        <v>449</v>
      </c>
      <c r="D149" s="1365">
        <f>D131-D145-D148</f>
        <v>0</v>
      </c>
      <c r="E149" s="1365">
        <f>E131-E148</f>
        <v>0</v>
      </c>
      <c r="F149" s="1365">
        <f>F131-F148</f>
        <v>0</v>
      </c>
      <c r="G149" s="1365">
        <f>G131-G148</f>
        <v>0</v>
      </c>
      <c r="H149" s="1365">
        <f>H131-H148</f>
        <v>0</v>
      </c>
      <c r="I149" s="1404">
        <f>I131-I148</f>
        <v>0</v>
      </c>
    </row>
    <row r="150" spans="1:64" ht="18" customHeight="1">
      <c r="A150" s="1405">
        <f>IF(B150&gt;0,"Mehrbedarf nach § 27 (2) SGB II",0)</f>
        <v>0</v>
      </c>
      <c r="B150" s="1406">
        <f>SUM(C150:I150)</f>
        <v>0</v>
      </c>
      <c r="C150" s="1016">
        <f>IF(C10="nur Mehrbedarf",Zusatzeingaben!C45+Zusatzeingaben!B46+Zusatzeingaben!C93+Zusatzeingaben!C94,0)</f>
        <v>0</v>
      </c>
      <c r="D150" s="1016">
        <f>IF(D10="nur Mehrbedarf",Zusatzeingaben!D45+Zusatzeingaben!D93+Zusatzeingaben!D94,0)</f>
        <v>0</v>
      </c>
      <c r="E150" s="522"/>
      <c r="F150" s="522"/>
      <c r="G150" s="522"/>
      <c r="H150" s="522"/>
      <c r="I150" s="523"/>
    </row>
    <row r="151" spans="1:64" ht="17.25" customHeight="1">
      <c r="A151" s="1407">
        <f>IF(B151&gt;0,"./. Überschuss",0)</f>
        <v>0</v>
      </c>
      <c r="B151" s="1383">
        <f>SUM(C151:I151)</f>
        <v>0</v>
      </c>
      <c r="C151" s="522">
        <f>IF(AND(C10="nur Mehrbedarf",$B$149&lt;0,D149&lt;0),$B$149*-1,IF(AND(C10="nur Mehrbedarf",$B$149&lt;0,$E$149&lt;0),$B$149*-1,IF(AND(C10="nur Mehrbedarf",D149&gt;=0,C149&lt;0),C149*-1,0)))</f>
        <v>0</v>
      </c>
      <c r="D151" s="522">
        <f>IF(AND(D10="nur Mehrbedarf",$B$149&lt;0,C149&lt;0),$B$149*-1,IF(AND(D10="nur Mehrbedarf",$B$149&lt;0,$E$149&lt;0),$B$149*-1,IF(AND(D10="nur Mehrbedarf",C149&gt;=0,D149&lt;0),D149*-1,0)))</f>
        <v>0</v>
      </c>
      <c r="E151" s="522"/>
      <c r="F151" s="522"/>
      <c r="G151" s="522"/>
      <c r="H151" s="522"/>
      <c r="I151" s="523"/>
    </row>
    <row r="152" spans="1:64" ht="17.25" hidden="1" customHeight="1">
      <c r="A152" s="1408"/>
      <c r="B152" s="1409"/>
      <c r="C152" s="1410">
        <f t="shared" ref="C152:I152" si="17">C149-C157</f>
        <v>449</v>
      </c>
      <c r="D152" s="1410">
        <f t="shared" si="17"/>
        <v>0</v>
      </c>
      <c r="E152" s="1410">
        <f t="shared" si="17"/>
        <v>0</v>
      </c>
      <c r="F152" s="1410">
        <f t="shared" si="17"/>
        <v>0</v>
      </c>
      <c r="G152" s="1410">
        <f t="shared" si="17"/>
        <v>0</v>
      </c>
      <c r="H152" s="1410">
        <f t="shared" si="17"/>
        <v>0</v>
      </c>
      <c r="I152" s="1411">
        <f t="shared" si="17"/>
        <v>0</v>
      </c>
    </row>
    <row r="153" spans="1:64" ht="17.25" hidden="1" customHeight="1">
      <c r="A153" s="839"/>
      <c r="B153" s="522"/>
      <c r="C153" s="1410">
        <f>IF(Zusatzeingaben!C221="einmal",C11*0.1,IF(Zusatzeingaben!C221="zweimal",C11*0.2,IF(Zusatzeingaben!C221="dreimal",C11*0.3,0)))</f>
        <v>0</v>
      </c>
      <c r="D153" s="1410">
        <f>IF(Zusatzeingaben!D221="einmal",D11*0.1,IF(Zusatzeingaben!D221="zweimal",D11*0.2,IF(Zusatzeingaben!D221="dreimal",D11*0.3,0)))</f>
        <v>0</v>
      </c>
      <c r="E153" s="1410">
        <f>IF(Zusatzeingaben!E221="einmal",E11*0.1,IF(Zusatzeingaben!E221="zweimal",E11*0.2,IF(Zusatzeingaben!E221="dreimal",E11*0.3,0)))</f>
        <v>0</v>
      </c>
      <c r="F153" s="1410">
        <f>IF(Zusatzeingaben!F221="einmal",F11*0.1,IF(Zusatzeingaben!F221="zweimal",F11*0.2,IF(Zusatzeingaben!F221="dreimal",F11*0.3,0)))</f>
        <v>0</v>
      </c>
      <c r="G153" s="1410">
        <f>IF(Zusatzeingaben!G221="einmal",G11*0.1,IF(Zusatzeingaben!G221="zweimal",G11*0.2,IF(Zusatzeingaben!G221="dreimal",G11*0.3,0)))</f>
        <v>0</v>
      </c>
      <c r="H153" s="1410">
        <f>IF(Zusatzeingaben!H221="einmal",H11*0.1,IF(Zusatzeingaben!H221="zweimal",H11*0.2,IF(Zusatzeingaben!H221="dreimal",H11*0.3,0)))</f>
        <v>0</v>
      </c>
      <c r="I153" s="1411">
        <f>IF(Zusatzeingaben!I221="einmal",I11*0.1,IF(Zusatzeingaben!I221="zweimal",I11*0.2,IF(Zusatzeingaben!I221="dreimal",I11*0.3,0)))</f>
        <v>0</v>
      </c>
    </row>
    <row r="154" spans="1:64" ht="17.25" hidden="1" customHeight="1">
      <c r="A154" s="1408"/>
      <c r="B154" s="522"/>
      <c r="C154" s="522">
        <f t="shared" ref="C154:I154" si="18">IF(C152&gt;C149,C149,C152)</f>
        <v>449</v>
      </c>
      <c r="D154" s="522">
        <f t="shared" si="18"/>
        <v>0</v>
      </c>
      <c r="E154" s="522">
        <f t="shared" si="18"/>
        <v>0</v>
      </c>
      <c r="F154" s="522">
        <f t="shared" si="18"/>
        <v>0</v>
      </c>
      <c r="G154" s="522">
        <f t="shared" si="18"/>
        <v>0</v>
      </c>
      <c r="H154" s="522">
        <f t="shared" si="18"/>
        <v>0</v>
      </c>
      <c r="I154" s="523">
        <f t="shared" si="18"/>
        <v>0</v>
      </c>
    </row>
    <row r="155" spans="1:64" ht="17.25" customHeight="1">
      <c r="A155" s="1407">
        <f>IF(B155&gt;0,"./. Minderung Meldeversäumnis",0)</f>
        <v>0</v>
      </c>
      <c r="B155" s="1335">
        <f>SUM(C155:I155)</f>
        <v>0</v>
      </c>
      <c r="C155" s="522">
        <f t="shared" ref="C155:I155" si="19">IF(OR(C149&lt;0,C153=0),0,MIN(C154,C153))</f>
        <v>0</v>
      </c>
      <c r="D155" s="522">
        <f t="shared" si="19"/>
        <v>0</v>
      </c>
      <c r="E155" s="522">
        <f t="shared" si="19"/>
        <v>0</v>
      </c>
      <c r="F155" s="522">
        <f t="shared" si="19"/>
        <v>0</v>
      </c>
      <c r="G155" s="522">
        <f t="shared" si="19"/>
        <v>0</v>
      </c>
      <c r="H155" s="522">
        <f t="shared" si="19"/>
        <v>0</v>
      </c>
      <c r="I155" s="523">
        <f t="shared" si="19"/>
        <v>0</v>
      </c>
    </row>
    <row r="156" spans="1:64" ht="17.25" hidden="1" customHeight="1">
      <c r="A156" s="1341"/>
      <c r="B156" s="1412"/>
      <c r="C156" s="634">
        <f>Zusatzeingaben!C225</f>
        <v>0</v>
      </c>
      <c r="D156" s="634">
        <f>Zusatzeingaben!D225</f>
        <v>0</v>
      </c>
      <c r="E156" s="634">
        <f>Zusatzeingaben!E225</f>
        <v>0</v>
      </c>
      <c r="F156" s="634">
        <f>Zusatzeingaben!F225</f>
        <v>0</v>
      </c>
      <c r="G156" s="634">
        <f>Zusatzeingaben!G225</f>
        <v>0</v>
      </c>
      <c r="H156" s="634">
        <f>Zusatzeingaben!H225</f>
        <v>0</v>
      </c>
      <c r="I156" s="635">
        <f>Zusatzeingaben!I225</f>
        <v>0</v>
      </c>
    </row>
    <row r="157" spans="1:64" ht="17.25" hidden="1" customHeight="1">
      <c r="A157" s="976"/>
      <c r="B157" s="1413"/>
      <c r="C157" s="1410">
        <f t="shared" ref="C157:I157" si="20">IF(C156&gt;C149,C149,C156)</f>
        <v>0</v>
      </c>
      <c r="D157" s="1410">
        <f t="shared" si="20"/>
        <v>0</v>
      </c>
      <c r="E157" s="1410">
        <f t="shared" si="20"/>
        <v>0</v>
      </c>
      <c r="F157" s="1410">
        <f t="shared" si="20"/>
        <v>0</v>
      </c>
      <c r="G157" s="1410">
        <f t="shared" si="20"/>
        <v>0</v>
      </c>
      <c r="H157" s="1410">
        <f t="shared" si="20"/>
        <v>0</v>
      </c>
      <c r="I157" s="1411">
        <f t="shared" si="20"/>
        <v>0</v>
      </c>
    </row>
    <row r="158" spans="1:64" ht="18" customHeight="1">
      <c r="A158" s="1414">
        <f>IF(B158&gt;0,"./. Minderung Pflichtverletzung",0)</f>
        <v>0</v>
      </c>
      <c r="B158" s="1415">
        <f>SUM(C158:I158)</f>
        <v>0</v>
      </c>
      <c r="C158" s="1416">
        <f t="shared" ref="C158:I158" si="21">IF(C157&lt;0,0,C157)</f>
        <v>0</v>
      </c>
      <c r="D158" s="1024">
        <f t="shared" si="21"/>
        <v>0</v>
      </c>
      <c r="E158" s="1024">
        <f t="shared" si="21"/>
        <v>0</v>
      </c>
      <c r="F158" s="1024">
        <f t="shared" si="21"/>
        <v>0</v>
      </c>
      <c r="G158" s="1024">
        <f t="shared" si="21"/>
        <v>0</v>
      </c>
      <c r="H158" s="1024">
        <f t="shared" si="21"/>
        <v>0</v>
      </c>
      <c r="I158" s="1025">
        <f t="shared" si="21"/>
        <v>0</v>
      </c>
    </row>
    <row r="159" spans="1:64" ht="16.5" hidden="1" customHeight="1">
      <c r="A159" s="1417"/>
      <c r="B159" s="1418"/>
      <c r="C159" s="1419">
        <f>IF(C10="nur Mehrbedarf",C150-C151,0)</f>
        <v>0</v>
      </c>
      <c r="D159" s="1419">
        <f>IF(D10="nur Mehrbedarf",D150-D151,0)</f>
        <v>0</v>
      </c>
      <c r="E159" s="1419"/>
      <c r="F159" s="1419"/>
      <c r="G159" s="1419"/>
      <c r="H159" s="1419"/>
      <c r="I159" s="1420"/>
      <c r="J159" s="1080"/>
      <c r="K159" s="1207"/>
      <c r="L159" s="1207"/>
      <c r="M159" s="1080"/>
      <c r="N159" s="1080"/>
      <c r="O159" s="1080"/>
      <c r="P159" s="1080"/>
      <c r="Q159" s="1080"/>
      <c r="R159" s="1080"/>
      <c r="S159" s="1080"/>
      <c r="T159" s="1080"/>
      <c r="U159" s="1080"/>
      <c r="V159" s="1080"/>
      <c r="W159" s="1080"/>
      <c r="X159" s="1080"/>
      <c r="Y159" s="1080"/>
      <c r="Z159" s="1080"/>
      <c r="AA159" s="1080"/>
      <c r="AB159" s="1080"/>
      <c r="AC159" s="1080"/>
      <c r="AD159" s="1080"/>
      <c r="AE159" s="1080"/>
      <c r="AF159" s="1080"/>
      <c r="AG159" s="1080"/>
      <c r="AH159" s="1080"/>
      <c r="AI159" s="1080"/>
      <c r="AJ159" s="1080"/>
      <c r="AK159" s="1080"/>
      <c r="AL159" s="1080"/>
      <c r="AM159" s="1080"/>
      <c r="AN159" s="1080"/>
      <c r="AO159" s="1080"/>
      <c r="AP159" s="1080"/>
      <c r="AQ159" s="1080"/>
      <c r="AR159" s="1080"/>
      <c r="AS159" s="1080"/>
      <c r="AT159" s="1080"/>
      <c r="AU159" s="1080"/>
      <c r="AV159" s="1080"/>
      <c r="AW159" s="1080"/>
      <c r="AX159" s="1080"/>
      <c r="AY159" s="1080"/>
      <c r="AZ159" s="1080"/>
      <c r="BA159" s="1080"/>
      <c r="BB159" s="1080"/>
      <c r="BC159" s="1080"/>
      <c r="BD159" s="1080"/>
      <c r="BE159" s="1080"/>
      <c r="BF159" s="1080"/>
      <c r="BG159" s="1080"/>
      <c r="BH159" s="1080"/>
      <c r="BI159" s="1080"/>
      <c r="BJ159" s="1080"/>
      <c r="BK159" s="1080"/>
      <c r="BL159" s="1080"/>
    </row>
    <row r="160" spans="1:64" ht="17.25" hidden="1" customHeight="1">
      <c r="A160" s="1421"/>
      <c r="B160" s="1413">
        <f>SUM(C160:I160)</f>
        <v>449</v>
      </c>
      <c r="C160" s="1413">
        <f t="shared" ref="C160:I160" si="22">IF(C10="nur Mehrbedarf",C159,C149-C155-C158)</f>
        <v>449</v>
      </c>
      <c r="D160" s="1413">
        <f t="shared" si="22"/>
        <v>0</v>
      </c>
      <c r="E160" s="1413">
        <f t="shared" si="22"/>
        <v>0</v>
      </c>
      <c r="F160" s="1413">
        <f t="shared" si="22"/>
        <v>0</v>
      </c>
      <c r="G160" s="1413">
        <f t="shared" si="22"/>
        <v>0</v>
      </c>
      <c r="H160" s="1413">
        <f t="shared" si="22"/>
        <v>0</v>
      </c>
      <c r="I160" s="1413">
        <f t="shared" si="22"/>
        <v>0</v>
      </c>
    </row>
    <row r="161" spans="1:9" ht="24" customHeight="1">
      <c r="A161" s="1423" t="s">
        <v>2173</v>
      </c>
      <c r="B161" s="1424">
        <f>SUM(C161:I161)</f>
        <v>449</v>
      </c>
      <c r="C161" s="1424">
        <f t="shared" ref="C161:I161" si="23">IF(C10="nein",0,IF(C160&lt;0,0,C160))</f>
        <v>449</v>
      </c>
      <c r="D161" s="1424">
        <f t="shared" si="23"/>
        <v>0</v>
      </c>
      <c r="E161" s="1424">
        <f t="shared" si="23"/>
        <v>0</v>
      </c>
      <c r="F161" s="1424">
        <f t="shared" si="23"/>
        <v>0</v>
      </c>
      <c r="G161" s="1424">
        <f t="shared" si="23"/>
        <v>0</v>
      </c>
      <c r="H161" s="1424">
        <f t="shared" si="23"/>
        <v>0</v>
      </c>
      <c r="I161" s="1425">
        <f t="shared" si="23"/>
        <v>0</v>
      </c>
    </row>
    <row r="162" spans="1:9" ht="15" customHeight="1">
      <c r="A162" s="1274" t="s">
        <v>2307</v>
      </c>
    </row>
    <row r="163" spans="1:9" ht="14.25" hidden="1" customHeight="1"/>
    <row r="164" spans="1:9" ht="20.25">
      <c r="A164" s="1217"/>
      <c r="B164" s="1218"/>
      <c r="C164" s="1219"/>
      <c r="D164" s="1219"/>
      <c r="E164" s="1219"/>
      <c r="F164" s="1219"/>
      <c r="G164" s="1219"/>
      <c r="H164" s="1219"/>
      <c r="I164" s="1219"/>
    </row>
    <row r="165" spans="1:9" ht="21" customHeight="1">
      <c r="A165" s="1220"/>
      <c r="B165" s="1221"/>
      <c r="C165" s="1221"/>
      <c r="D165" s="1221"/>
      <c r="E165" s="1221"/>
      <c r="F165" s="1221"/>
      <c r="G165" s="1221"/>
      <c r="H165" s="1221"/>
      <c r="I165" s="1221"/>
    </row>
    <row r="166" spans="1:9" ht="21" customHeight="1">
      <c r="A166" s="1545" t="s">
        <v>2174</v>
      </c>
      <c r="B166" s="1317"/>
      <c r="C166" s="1546"/>
      <c r="D166" s="1546"/>
      <c r="E166" s="1546"/>
      <c r="F166" s="1546"/>
      <c r="G166" s="1546"/>
      <c r="H166" s="1546"/>
      <c r="I166" s="1547"/>
    </row>
    <row r="167" spans="1:9" ht="18.75" customHeight="1">
      <c r="A167" s="839"/>
      <c r="B167" s="1322" t="s">
        <v>246</v>
      </c>
      <c r="C167" s="1322" t="str">
        <f>Zusatzeingaben!C4</f>
        <v>Antragsteller</v>
      </c>
      <c r="D167" s="1322" t="str">
        <f>Zusatzeingaben!D4</f>
        <v>Partner(in)</v>
      </c>
      <c r="E167" s="1322" t="str">
        <f>Zusatzeingaben!E4</f>
        <v>Kind 1</v>
      </c>
      <c r="F167" s="1322" t="str">
        <f>Zusatzeingaben!F4</f>
        <v>Kind 2</v>
      </c>
      <c r="G167" s="1322" t="str">
        <f>Zusatzeingaben!G4</f>
        <v>Kind 3</v>
      </c>
      <c r="H167" s="1322" t="str">
        <f>Zusatzeingaben!H4</f>
        <v>Kind 4</v>
      </c>
      <c r="I167" s="1323" t="str">
        <f>Zusatzeingaben!I4</f>
        <v>Kind 5</v>
      </c>
    </row>
    <row r="168" spans="1:9" ht="18.75" hidden="1" customHeight="1">
      <c r="A168" s="839"/>
      <c r="B168" s="1222"/>
      <c r="C168" s="1223">
        <f t="shared" ref="C168:I168" si="24">IF(C10="ja",C11+C13+C14+C15+C16+C17+C18+C19,0)</f>
        <v>449</v>
      </c>
      <c r="D168" s="1223">
        <f t="shared" si="24"/>
        <v>0</v>
      </c>
      <c r="E168" s="1223">
        <f t="shared" si="24"/>
        <v>0</v>
      </c>
      <c r="F168" s="1223">
        <f t="shared" si="24"/>
        <v>0</v>
      </c>
      <c r="G168" s="1223">
        <f t="shared" si="24"/>
        <v>0</v>
      </c>
      <c r="H168" s="1223">
        <f t="shared" si="24"/>
        <v>0</v>
      </c>
      <c r="I168" s="1224">
        <f t="shared" si="24"/>
        <v>0</v>
      </c>
    </row>
    <row r="169" spans="1:9" ht="18.75" customHeight="1">
      <c r="A169" s="839" t="s">
        <v>2175</v>
      </c>
      <c r="B169" s="1335">
        <f>SUM(C169:I169)</f>
        <v>449</v>
      </c>
      <c r="C169" s="1016">
        <f t="shared" ref="C169:I169" si="25">IF(C10="ja",C11+C13+C14+C15+C16+C17+C18+C19+C49,IF(C10="nur Mehrbedarf",C161,0))</f>
        <v>449</v>
      </c>
      <c r="D169" s="1016">
        <f t="shared" si="25"/>
        <v>0</v>
      </c>
      <c r="E169" s="1016">
        <f t="shared" si="25"/>
        <v>0</v>
      </c>
      <c r="F169" s="1016">
        <f t="shared" si="25"/>
        <v>0</v>
      </c>
      <c r="G169" s="1016">
        <f t="shared" si="25"/>
        <v>0</v>
      </c>
      <c r="H169" s="1016">
        <f t="shared" si="25"/>
        <v>0</v>
      </c>
      <c r="I169" s="1017">
        <f t="shared" si="25"/>
        <v>0</v>
      </c>
    </row>
    <row r="170" spans="1:9" ht="18.75" customHeight="1">
      <c r="A170" s="1225" t="s">
        <v>2176</v>
      </c>
      <c r="B170" s="1335">
        <f>SUM(C170:I170)</f>
        <v>0</v>
      </c>
      <c r="C170" s="1016">
        <f t="shared" ref="C170:I170" si="26">C155+C158</f>
        <v>0</v>
      </c>
      <c r="D170" s="1016">
        <f t="shared" si="26"/>
        <v>0</v>
      </c>
      <c r="E170" s="1016">
        <f t="shared" si="26"/>
        <v>0</v>
      </c>
      <c r="F170" s="1016">
        <f t="shared" si="26"/>
        <v>0</v>
      </c>
      <c r="G170" s="1016">
        <f t="shared" si="26"/>
        <v>0</v>
      </c>
      <c r="H170" s="1016">
        <f t="shared" si="26"/>
        <v>0</v>
      </c>
      <c r="I170" s="1017">
        <f t="shared" si="26"/>
        <v>0</v>
      </c>
    </row>
    <row r="171" spans="1:9" ht="19.5" customHeight="1">
      <c r="A171" s="1226" t="s">
        <v>2177</v>
      </c>
      <c r="B171" s="1357">
        <f>SUM(C171:I171)</f>
        <v>0</v>
      </c>
      <c r="C171" s="1227">
        <f>IF(C169=0,0,C148)</f>
        <v>0</v>
      </c>
      <c r="D171" s="1227">
        <f>IF(D169=0,0,D148)</f>
        <v>0</v>
      </c>
      <c r="E171" s="1227">
        <f>IF(E169=0,0,E128+E148)</f>
        <v>0</v>
      </c>
      <c r="F171" s="1227">
        <f>IF(F169=0,0,F128+F148)</f>
        <v>0</v>
      </c>
      <c r="G171" s="1227">
        <f>IF(G169=0,0,G128+G148)</f>
        <v>0</v>
      </c>
      <c r="H171" s="1227">
        <f>IF(H169=0,0,H128+H148)</f>
        <v>0</v>
      </c>
      <c r="I171" s="1228">
        <f>IF(I169=0,0,I128+I148)</f>
        <v>0</v>
      </c>
    </row>
    <row r="172" spans="1:9" ht="21" hidden="1" customHeight="1">
      <c r="A172" s="833"/>
      <c r="B172" s="637"/>
      <c r="C172" s="1229">
        <f t="shared" ref="C172:I172" si="27">IF(C168=0,0,C148)</f>
        <v>0</v>
      </c>
      <c r="D172" s="1229">
        <f t="shared" si="27"/>
        <v>0</v>
      </c>
      <c r="E172" s="1229">
        <f t="shared" si="27"/>
        <v>0</v>
      </c>
      <c r="F172" s="1229">
        <f t="shared" si="27"/>
        <v>0</v>
      </c>
      <c r="G172" s="1229">
        <f t="shared" si="27"/>
        <v>0</v>
      </c>
      <c r="H172" s="1229">
        <f t="shared" si="27"/>
        <v>0</v>
      </c>
      <c r="I172" s="1230">
        <f t="shared" si="27"/>
        <v>0</v>
      </c>
    </row>
    <row r="173" spans="1:9" ht="21" hidden="1" customHeight="1">
      <c r="A173" s="833"/>
      <c r="B173" s="637"/>
      <c r="C173" s="637">
        <f t="shared" ref="C173:I173" si="28">C169-C170-C171</f>
        <v>449</v>
      </c>
      <c r="D173" s="637">
        <f t="shared" si="28"/>
        <v>0</v>
      </c>
      <c r="E173" s="637">
        <f t="shared" si="28"/>
        <v>0</v>
      </c>
      <c r="F173" s="637">
        <f t="shared" si="28"/>
        <v>0</v>
      </c>
      <c r="G173" s="637">
        <f t="shared" si="28"/>
        <v>0</v>
      </c>
      <c r="H173" s="637">
        <f t="shared" si="28"/>
        <v>0</v>
      </c>
      <c r="I173" s="638">
        <f t="shared" si="28"/>
        <v>0</v>
      </c>
    </row>
    <row r="174" spans="1:9" ht="21" hidden="1" customHeight="1">
      <c r="A174" s="833"/>
      <c r="B174" s="637"/>
      <c r="C174" s="1231">
        <f>C168-C172</f>
        <v>449</v>
      </c>
      <c r="D174" s="1231">
        <f t="shared" ref="D174:I174" si="29">D168-D171</f>
        <v>0</v>
      </c>
      <c r="E174" s="1231">
        <f t="shared" si="29"/>
        <v>0</v>
      </c>
      <c r="F174" s="1231">
        <f t="shared" si="29"/>
        <v>0</v>
      </c>
      <c r="G174" s="1231">
        <f t="shared" si="29"/>
        <v>0</v>
      </c>
      <c r="H174" s="1231">
        <f t="shared" si="29"/>
        <v>0</v>
      </c>
      <c r="I174" s="1232">
        <f t="shared" si="29"/>
        <v>0</v>
      </c>
    </row>
    <row r="175" spans="1:9" ht="21" customHeight="1">
      <c r="A175" s="1233" t="s">
        <v>2178</v>
      </c>
      <c r="B175" s="1234">
        <f>SUM(C175:I175)</f>
        <v>449</v>
      </c>
      <c r="C175" s="1234">
        <f t="shared" ref="C175:I176" si="30">IF(C173&lt;0,0,C173)</f>
        <v>449</v>
      </c>
      <c r="D175" s="1234">
        <f t="shared" si="30"/>
        <v>0</v>
      </c>
      <c r="E175" s="1234">
        <f t="shared" si="30"/>
        <v>0</v>
      </c>
      <c r="F175" s="1234">
        <f t="shared" si="30"/>
        <v>0</v>
      </c>
      <c r="G175" s="1234">
        <f t="shared" si="30"/>
        <v>0</v>
      </c>
      <c r="H175" s="1234">
        <f t="shared" si="30"/>
        <v>0</v>
      </c>
      <c r="I175" s="1235">
        <f t="shared" si="30"/>
        <v>0</v>
      </c>
    </row>
    <row r="176" spans="1:9" ht="21" hidden="1" customHeight="1">
      <c r="A176" s="1236"/>
      <c r="B176" s="1221"/>
      <c r="C176" s="1237">
        <f t="shared" si="30"/>
        <v>449</v>
      </c>
      <c r="D176" s="1237">
        <f t="shared" si="30"/>
        <v>0</v>
      </c>
      <c r="E176" s="1237">
        <f t="shared" si="30"/>
        <v>0</v>
      </c>
      <c r="F176" s="1237">
        <f t="shared" si="30"/>
        <v>0</v>
      </c>
      <c r="G176" s="1237">
        <f t="shared" si="30"/>
        <v>0</v>
      </c>
      <c r="H176" s="1237">
        <f t="shared" si="30"/>
        <v>0</v>
      </c>
      <c r="I176" s="1238">
        <f t="shared" si="30"/>
        <v>0</v>
      </c>
    </row>
    <row r="177" spans="1:9" ht="21" customHeight="1">
      <c r="A177" s="1239" t="s">
        <v>2179</v>
      </c>
      <c r="B177" s="1548"/>
      <c r="C177" s="1241">
        <f t="shared" ref="C177:I178" si="31">IF(C173&lt;0,C173,0)*-1</f>
        <v>0</v>
      </c>
      <c r="D177" s="1241">
        <f t="shared" si="31"/>
        <v>0</v>
      </c>
      <c r="E177" s="1241">
        <f t="shared" si="31"/>
        <v>0</v>
      </c>
      <c r="F177" s="1241">
        <f t="shared" si="31"/>
        <v>0</v>
      </c>
      <c r="G177" s="1241">
        <f t="shared" si="31"/>
        <v>0</v>
      </c>
      <c r="H177" s="1241">
        <f t="shared" si="31"/>
        <v>0</v>
      </c>
      <c r="I177" s="1242">
        <f t="shared" si="31"/>
        <v>0</v>
      </c>
    </row>
    <row r="178" spans="1:9" ht="21" hidden="1" customHeight="1">
      <c r="A178" s="833"/>
      <c r="B178" s="1249"/>
      <c r="C178" s="1244">
        <f t="shared" si="31"/>
        <v>0</v>
      </c>
      <c r="D178" s="1244">
        <f t="shared" si="31"/>
        <v>0</v>
      </c>
      <c r="E178" s="1244">
        <f t="shared" si="31"/>
        <v>0</v>
      </c>
      <c r="F178" s="1244">
        <f t="shared" si="31"/>
        <v>0</v>
      </c>
      <c r="G178" s="1244">
        <f t="shared" si="31"/>
        <v>0</v>
      </c>
      <c r="H178" s="1244">
        <f t="shared" si="31"/>
        <v>0</v>
      </c>
      <c r="I178" s="1245">
        <f t="shared" si="31"/>
        <v>0</v>
      </c>
    </row>
    <row r="179" spans="1:9" ht="21" customHeight="1">
      <c r="A179" s="1246" t="s">
        <v>2180</v>
      </c>
      <c r="B179" s="1365">
        <f>SUM(C179:I179)</f>
        <v>0</v>
      </c>
      <c r="C179" s="1008">
        <f t="shared" ref="C179:I179" si="32">IF(C10="ja",C47,0)</f>
        <v>0</v>
      </c>
      <c r="D179" s="1008">
        <f t="shared" si="32"/>
        <v>0</v>
      </c>
      <c r="E179" s="1008">
        <f t="shared" si="32"/>
        <v>0</v>
      </c>
      <c r="F179" s="1008">
        <f t="shared" si="32"/>
        <v>0</v>
      </c>
      <c r="G179" s="1008">
        <f t="shared" si="32"/>
        <v>0</v>
      </c>
      <c r="H179" s="1008">
        <f t="shared" si="32"/>
        <v>0</v>
      </c>
      <c r="I179" s="1009">
        <f t="shared" si="32"/>
        <v>0</v>
      </c>
    </row>
    <row r="180" spans="1:9" ht="21" customHeight="1">
      <c r="A180" s="1226" t="s">
        <v>2181</v>
      </c>
      <c r="B180" s="1549">
        <f>SUM(C180:I180)</f>
        <v>0</v>
      </c>
      <c r="C180" s="1227">
        <f t="shared" ref="C180:I180" si="33">IF(C179&lt;C177,C179,C177)</f>
        <v>0</v>
      </c>
      <c r="D180" s="1227">
        <f t="shared" si="33"/>
        <v>0</v>
      </c>
      <c r="E180" s="1227">
        <f t="shared" si="33"/>
        <v>0</v>
      </c>
      <c r="F180" s="1227">
        <f t="shared" si="33"/>
        <v>0</v>
      </c>
      <c r="G180" s="1227">
        <f t="shared" si="33"/>
        <v>0</v>
      </c>
      <c r="H180" s="1227">
        <f t="shared" si="33"/>
        <v>0</v>
      </c>
      <c r="I180" s="1228">
        <f t="shared" si="33"/>
        <v>0</v>
      </c>
    </row>
    <row r="181" spans="1:9" ht="21" hidden="1" customHeight="1">
      <c r="A181" s="1248"/>
      <c r="B181" s="1249"/>
      <c r="C181" s="1250">
        <f t="shared" ref="C181:I181" si="34">IF(C179&lt;C178,C179,C178)</f>
        <v>0</v>
      </c>
      <c r="D181" s="1250">
        <f t="shared" si="34"/>
        <v>0</v>
      </c>
      <c r="E181" s="1250">
        <f t="shared" si="34"/>
        <v>0</v>
      </c>
      <c r="F181" s="1250">
        <f t="shared" si="34"/>
        <v>0</v>
      </c>
      <c r="G181" s="1250">
        <f t="shared" si="34"/>
        <v>0</v>
      </c>
      <c r="H181" s="1250">
        <f t="shared" si="34"/>
        <v>0</v>
      </c>
      <c r="I181" s="1251">
        <f t="shared" si="34"/>
        <v>0</v>
      </c>
    </row>
    <row r="182" spans="1:9" ht="21" hidden="1" customHeight="1">
      <c r="A182" s="1248"/>
      <c r="B182" s="1249"/>
      <c r="C182" s="1252">
        <f t="shared" ref="C182:I182" si="35">C179-C181</f>
        <v>0</v>
      </c>
      <c r="D182" s="1252">
        <f t="shared" si="35"/>
        <v>0</v>
      </c>
      <c r="E182" s="1252">
        <f t="shared" si="35"/>
        <v>0</v>
      </c>
      <c r="F182" s="1252">
        <f t="shared" si="35"/>
        <v>0</v>
      </c>
      <c r="G182" s="1252">
        <f t="shared" si="35"/>
        <v>0</v>
      </c>
      <c r="H182" s="1252">
        <f t="shared" si="35"/>
        <v>0</v>
      </c>
      <c r="I182" s="1253">
        <f t="shared" si="35"/>
        <v>0</v>
      </c>
    </row>
    <row r="183" spans="1:9" ht="21" customHeight="1">
      <c r="A183" s="1254" t="s">
        <v>2182</v>
      </c>
      <c r="B183" s="1255">
        <f>SUM(C183:I183)</f>
        <v>0</v>
      </c>
      <c r="C183" s="1256">
        <f t="shared" ref="C183:I183" si="36">IF(C180&lt;0,C179,C179-C180)</f>
        <v>0</v>
      </c>
      <c r="D183" s="1256">
        <f t="shared" si="36"/>
        <v>0</v>
      </c>
      <c r="E183" s="1256">
        <f t="shared" si="36"/>
        <v>0</v>
      </c>
      <c r="F183" s="1256">
        <f t="shared" si="36"/>
        <v>0</v>
      </c>
      <c r="G183" s="1256">
        <f t="shared" si="36"/>
        <v>0</v>
      </c>
      <c r="H183" s="1256">
        <f t="shared" si="36"/>
        <v>0</v>
      </c>
      <c r="I183" s="1257">
        <f t="shared" si="36"/>
        <v>0</v>
      </c>
    </row>
    <row r="184" spans="1:9" ht="18" customHeight="1">
      <c r="A184" s="1220"/>
      <c r="B184" s="1221"/>
      <c r="C184" s="1221"/>
      <c r="D184" s="1221"/>
      <c r="E184" s="1221"/>
      <c r="F184" s="1221"/>
      <c r="G184" s="1221"/>
      <c r="H184" s="1221"/>
      <c r="I184" s="1221"/>
    </row>
    <row r="186" spans="1:9" ht="18.75" customHeight="1"/>
    <row r="187" spans="1:9">
      <c r="A187" s="1258" t="s">
        <v>2183</v>
      </c>
      <c r="B187" s="1259"/>
      <c r="C187" s="981"/>
      <c r="D187" s="981"/>
      <c r="F187" s="1260"/>
      <c r="G187" s="818"/>
      <c r="H187" s="818"/>
      <c r="I187" s="818"/>
    </row>
    <row r="188" spans="1:9">
      <c r="A188" s="981" t="s">
        <v>2184</v>
      </c>
      <c r="B188" s="1261">
        <f>IF(AND(C$58=0,C$54&lt;=100),0,IF(AND(C$58=0,C$54&lt;=1000),C$54-100,IF(AND(C$58=0,C$54&gt;1000),1000-100,IF(AND(C$58&gt;0,C$54+C$58&lt;=100),0,IF(AND(C$58&gt;0,C$58+C$54&lt;=1000),C$58+C$54-100,IF(AND(C$58&gt;0,C$58+C$54&gt;1000),1000-100))))))</f>
        <v>0</v>
      </c>
      <c r="C188" s="981" t="s">
        <v>2185</v>
      </c>
      <c r="D188" s="637">
        <f>B188*20/100</f>
        <v>0</v>
      </c>
      <c r="F188" s="818"/>
      <c r="G188" s="818"/>
      <c r="H188" s="818"/>
      <c r="I188" s="952"/>
    </row>
    <row r="189" spans="1:9">
      <c r="A189" s="981" t="s">
        <v>2186</v>
      </c>
      <c r="B189" s="637">
        <f>IF(C$54+C$58&lt;1000.01,0,IF(AND(C$54+C$58&gt;1000,C$54+C$58&lt;=1200),C$54+C$58-1000,IF(AND(C$54+C$58&gt;1200,C8="ja",C$54+C$58&lt;=1500),C$54+C$58-1000,IF(AND(C$54+C$58&gt;1200,C8="nein",C$54+C$58&lt;=1500),1200-1000,IF(AND(C$54+C$58&gt;=1500,C8="ja"),1500-1000,IF(AND(C$54+C$58&gt;1500,C8="nein"),1200-1000))))))</f>
        <v>0</v>
      </c>
      <c r="C189" s="981" t="s">
        <v>2187</v>
      </c>
      <c r="D189" s="637">
        <f>B189*10/100</f>
        <v>0</v>
      </c>
      <c r="F189" s="818"/>
      <c r="G189" s="818"/>
      <c r="H189" s="818"/>
      <c r="I189" s="952"/>
    </row>
    <row r="190" spans="1:9">
      <c r="A190" s="1262" t="s">
        <v>141</v>
      </c>
      <c r="B190" s="981"/>
      <c r="C190" s="981"/>
      <c r="D190" s="1263">
        <f>SUM(D188:D189)</f>
        <v>0</v>
      </c>
      <c r="F190" s="818"/>
      <c r="G190" s="818"/>
      <c r="H190" s="818"/>
      <c r="I190" s="952"/>
    </row>
    <row r="191" spans="1:9">
      <c r="A191" s="981"/>
      <c r="B191" s="981"/>
      <c r="C191" s="981"/>
      <c r="D191" s="981"/>
      <c r="F191" s="818"/>
      <c r="G191" s="818"/>
      <c r="H191" s="818"/>
      <c r="I191" s="952"/>
    </row>
    <row r="192" spans="1:9">
      <c r="A192" s="1258" t="s">
        <v>2188</v>
      </c>
      <c r="B192" s="1259"/>
      <c r="C192" s="981"/>
      <c r="D192" s="981"/>
      <c r="F192" s="818"/>
      <c r="G192" s="818"/>
      <c r="H192" s="818"/>
      <c r="I192" s="818"/>
    </row>
    <row r="193" spans="1:9">
      <c r="A193" s="981" t="s">
        <v>2184</v>
      </c>
      <c r="B193" s="637">
        <f>IF(AND(D$58=0,D$54&lt;=100),0,IF(AND(D$58=0,D$54&lt;=1000),D$54-100,IF(AND(D$58=0,D$54&gt;1000),1000-100,IF(AND(D$58&gt;0,D$54+D$58&lt;=100),0,IF(AND(D$58&gt;0,D$58+D$54&lt;=1000),D$58+D$54-100,IF(AND(D$58&gt;0,D$58+D$54&gt;1000),1000-100))))))</f>
        <v>0</v>
      </c>
      <c r="C193" s="981" t="s">
        <v>2185</v>
      </c>
      <c r="D193" s="637">
        <f>B193*20/100</f>
        <v>0</v>
      </c>
      <c r="F193" s="818"/>
      <c r="G193" s="818"/>
      <c r="H193" s="818"/>
      <c r="I193" s="952"/>
    </row>
    <row r="194" spans="1:9">
      <c r="A194" s="981" t="s">
        <v>2186</v>
      </c>
      <c r="B194" s="637">
        <f>IF(D$54+D$58&lt;1000.01,0,IF(AND(D$54+D$58&gt;1000,D$54+D$58&lt;=1200),D$54+D$58-1000,IF(AND(D$54+D$58&gt;1200,D$8="ja",D$54+D$58&lt;=1500),D$54+D$58-1000,IF(AND(D$54+D$58&gt;1200,D$8="nein",D$54+D$58&lt;=1500),1200-1000,IF(AND(D$54+D$58&gt;=1500,D$8="ja"),1500-1000,IF(AND(D$54+D$58&gt;1500,D$8="nein"),1200-1000))))))</f>
        <v>0</v>
      </c>
      <c r="C194" s="981" t="s">
        <v>2187</v>
      </c>
      <c r="D194" s="637">
        <f>B194*10/100</f>
        <v>0</v>
      </c>
      <c r="F194" s="818"/>
      <c r="G194" s="818"/>
      <c r="H194" s="818"/>
      <c r="I194" s="952"/>
    </row>
    <row r="195" spans="1:9">
      <c r="A195" s="1262" t="s">
        <v>141</v>
      </c>
      <c r="B195" s="981"/>
      <c r="C195" s="981"/>
      <c r="D195" s="1263">
        <f>SUM(D193:D194)</f>
        <v>0</v>
      </c>
      <c r="F195" s="818"/>
      <c r="G195" s="818"/>
      <c r="H195" s="818"/>
      <c r="I195" s="952"/>
    </row>
    <row r="196" spans="1:9">
      <c r="A196" s="981"/>
      <c r="B196" s="981"/>
      <c r="C196" s="981"/>
      <c r="D196" s="981"/>
      <c r="F196" s="818"/>
      <c r="G196" s="818"/>
      <c r="H196" s="818"/>
      <c r="I196" s="952"/>
    </row>
    <row r="197" spans="1:9">
      <c r="A197" s="1258" t="s">
        <v>2189</v>
      </c>
      <c r="B197" s="1259"/>
      <c r="C197" s="981"/>
      <c r="D197" s="981"/>
      <c r="F197" s="818"/>
      <c r="G197" s="818"/>
      <c r="H197" s="818"/>
      <c r="I197" s="952"/>
    </row>
    <row r="198" spans="1:9">
      <c r="A198" s="981" t="s">
        <v>2184</v>
      </c>
      <c r="B198" s="637">
        <f>IF(AND(E$58=0,E$54&lt;=100),0,IF(AND(E$58=0,E$54&lt;=1000),E$54-100,IF(AND(E$58=0,E$54&gt;1000),1000-100,IF(AND(E$58&gt;0,E$54+E$58&lt;=100),0,IF(AND(E$58&gt;0,E$58+E$54&lt;=1000),E$58+E$54-100,IF(AND(E$58&gt;0,E$58+E$54&gt;1000),1000-100))))))</f>
        <v>0</v>
      </c>
      <c r="C198" s="981" t="s">
        <v>2185</v>
      </c>
      <c r="D198" s="637">
        <f>B198*20/100</f>
        <v>0</v>
      </c>
    </row>
    <row r="199" spans="1:9">
      <c r="A199" s="981" t="s">
        <v>2186</v>
      </c>
      <c r="B199" s="637">
        <f>IF(E$54+E$58&lt;1000.01,0,IF(AND(E$54+E$58&gt;1000,E$54+E$58&lt;=1200),E$54+E$58-1000,IF(E$54+E$58&gt;1200,1200-1000,)))</f>
        <v>0</v>
      </c>
      <c r="C199" s="981" t="s">
        <v>2187</v>
      </c>
      <c r="D199" s="637">
        <f>B199*10/100</f>
        <v>0</v>
      </c>
    </row>
    <row r="200" spans="1:9">
      <c r="A200" s="1262" t="s">
        <v>141</v>
      </c>
      <c r="B200" s="981"/>
      <c r="C200" s="981"/>
      <c r="D200" s="1263">
        <f>SUM(D198:D199)</f>
        <v>0</v>
      </c>
    </row>
    <row r="201" spans="1:9">
      <c r="A201" s="981"/>
      <c r="B201" s="981"/>
      <c r="C201" s="981"/>
      <c r="D201" s="981"/>
    </row>
    <row r="202" spans="1:9">
      <c r="A202" s="1258" t="s">
        <v>2190</v>
      </c>
      <c r="B202" s="1259"/>
      <c r="C202" s="981"/>
      <c r="D202" s="981"/>
    </row>
    <row r="203" spans="1:9">
      <c r="A203" s="981" t="s">
        <v>2184</v>
      </c>
      <c r="B203" s="637">
        <f>IF(AND(F$58=0,F$54&lt;=100),0,IF(AND(F$58=0,F$54&lt;=1000),F$54-100,IF(AND(F$58=0,F$54&gt;1000),1000-100,IF(AND(F$58&gt;0,F$54+F$58&lt;=100),0,IF(AND(F$58&gt;0,F$58+F$54&lt;=1000),F$58+F$54-100,IF(AND(F$58&gt;0,F$58+F$54&gt;1000),1000-100))))))</f>
        <v>0</v>
      </c>
      <c r="C203" s="981" t="s">
        <v>2185</v>
      </c>
      <c r="D203" s="637">
        <f>B203*20/100</f>
        <v>0</v>
      </c>
    </row>
    <row r="204" spans="1:9">
      <c r="A204" s="981" t="s">
        <v>2186</v>
      </c>
      <c r="B204" s="637">
        <f>IF(F$54+F$58&lt;1000.01,0,IF(AND(F$54+F$58&gt;1000,F$54+F$58&lt;=1200),F$54+F$58-1000,IF(F$54+F$58&gt;1200,1200-1000,)))</f>
        <v>0</v>
      </c>
      <c r="C204" s="981" t="s">
        <v>2187</v>
      </c>
      <c r="D204" s="637">
        <f>B204*10/100</f>
        <v>0</v>
      </c>
    </row>
    <row r="205" spans="1:9">
      <c r="A205" s="1262" t="s">
        <v>141</v>
      </c>
      <c r="B205" s="981"/>
      <c r="C205" s="981"/>
      <c r="D205" s="1263">
        <f>SUM(D203:D204)</f>
        <v>0</v>
      </c>
    </row>
    <row r="206" spans="1:9">
      <c r="A206" s="981"/>
      <c r="B206" s="981"/>
      <c r="C206" s="981"/>
      <c r="D206" s="981"/>
    </row>
    <row r="207" spans="1:9">
      <c r="A207" s="1258" t="s">
        <v>2191</v>
      </c>
      <c r="B207" s="1259"/>
      <c r="C207" s="981"/>
      <c r="D207" s="981"/>
    </row>
    <row r="208" spans="1:9">
      <c r="A208" s="981" t="s">
        <v>2184</v>
      </c>
      <c r="B208" s="637">
        <f>IF(AND(G$58=0,G$54&lt;=100),0,IF(AND(G$58=0,G$54&lt;=1000),G$54-100,IF(AND(G$58=0,G$54&gt;1000),1000-100,IF(AND(G$58&gt;0,G$54+G$58&lt;=100),0,IF(AND(G$58&gt;0,G$58+G$54&lt;=1000),G$58+G$54-100,IF(AND(G$58&gt;0,G$58+G$54&gt;1000),1000-100))))))</f>
        <v>0</v>
      </c>
      <c r="C208" s="981" t="s">
        <v>2185</v>
      </c>
      <c r="D208" s="637">
        <f>B208*20/100</f>
        <v>0</v>
      </c>
    </row>
    <row r="209" spans="1:4">
      <c r="A209" s="981" t="s">
        <v>2186</v>
      </c>
      <c r="B209" s="637">
        <f>IF(G$54+G$58&lt;1000.01,0,IF(AND(G$54+G$58&gt;1000,G$54+G$58&lt;=1200),G$54+G$58-1000,IF(G$54+G$58&gt;1200,1200-1000,)))</f>
        <v>0</v>
      </c>
      <c r="C209" s="981" t="s">
        <v>2187</v>
      </c>
      <c r="D209" s="637">
        <f>B209*10/100</f>
        <v>0</v>
      </c>
    </row>
    <row r="210" spans="1:4">
      <c r="A210" s="1262" t="s">
        <v>141</v>
      </c>
      <c r="B210" s="981"/>
      <c r="C210" s="981"/>
      <c r="D210" s="1263">
        <f>SUM(D208:D209)</f>
        <v>0</v>
      </c>
    </row>
    <row r="211" spans="1:4">
      <c r="A211" s="981"/>
      <c r="B211" s="981"/>
      <c r="C211" s="981"/>
      <c r="D211" s="981"/>
    </row>
    <row r="212" spans="1:4">
      <c r="A212" s="1258" t="s">
        <v>2192</v>
      </c>
      <c r="B212" s="1259"/>
      <c r="C212" s="981"/>
      <c r="D212" s="981"/>
    </row>
    <row r="213" spans="1:4">
      <c r="A213" s="981" t="s">
        <v>2184</v>
      </c>
      <c r="B213" s="637">
        <f>IF(AND(H$58=0,H$54&lt;=100),0,IF(AND(H$58=0,H$54&lt;=1000),H$54-100,IF(AND(H$58=0,H$54&gt;1000),1000-100,IF(AND(H$58&gt;0,H$54+H$58&lt;=100),0,IF(AND(H$58&gt;0,H$58+H$54&lt;=1000),H$58+H$54-100,IF(AND(H$58&gt;0,H$58+H$54&gt;1000),1000-100))))))</f>
        <v>0</v>
      </c>
      <c r="C213" s="981" t="s">
        <v>2185</v>
      </c>
      <c r="D213" s="637">
        <f>B213*20/100</f>
        <v>0</v>
      </c>
    </row>
    <row r="214" spans="1:4">
      <c r="A214" s="981" t="s">
        <v>2186</v>
      </c>
      <c r="B214" s="637">
        <f>IF(H$54+H$58&lt;1000.01,0,IF(AND(H$54+H$58&gt;1000,H$54+H$58&lt;=1200),H$54+H$58-1000,IF(H$54+H$58&gt;1200,1200-1000,)))</f>
        <v>0</v>
      </c>
      <c r="C214" s="981" t="s">
        <v>2187</v>
      </c>
      <c r="D214" s="637">
        <f>B214*10/100</f>
        <v>0</v>
      </c>
    </row>
    <row r="215" spans="1:4">
      <c r="A215" s="1262" t="s">
        <v>141</v>
      </c>
      <c r="B215" s="981"/>
      <c r="C215" s="981"/>
      <c r="D215" s="1263">
        <f>SUM(D213:D214)</f>
        <v>0</v>
      </c>
    </row>
    <row r="216" spans="1:4">
      <c r="A216" s="981"/>
      <c r="B216" s="981"/>
      <c r="C216" s="981"/>
      <c r="D216" s="981"/>
    </row>
    <row r="217" spans="1:4">
      <c r="A217" s="1258" t="s">
        <v>2193</v>
      </c>
      <c r="B217" s="1259"/>
      <c r="C217" s="981"/>
      <c r="D217" s="981"/>
    </row>
    <row r="218" spans="1:4">
      <c r="A218" s="981" t="s">
        <v>2184</v>
      </c>
      <c r="B218" s="637">
        <f>IF(AND(I$58=0,I$54&lt;=100),0,IF(AND(I$58=0,I$54&lt;=1000),I$54-100,IF(AND(I$58=0,I$54&gt;1000),1000-100,IF(AND(I$58&gt;0,I$54+I$58&lt;=100),0,IF(AND(I$58&gt;0,I$58+I$54&lt;=1000),I$58+I$54-100,IF(AND(I$58&gt;0,I$58+I$54&gt;1000),1000-100))))))</f>
        <v>0</v>
      </c>
      <c r="C218" s="981" t="s">
        <v>2185</v>
      </c>
      <c r="D218" s="637">
        <f>B218*20/100</f>
        <v>0</v>
      </c>
    </row>
    <row r="219" spans="1:4">
      <c r="A219" s="981" t="s">
        <v>2186</v>
      </c>
      <c r="B219" s="637">
        <f>IF(I$54+I$58&lt;1000.01,0,IF(AND(I$54+I$58&gt;1000,I$54+I$58&lt;=1200),I$54+I$58-1000,IF(I$54+I$58&gt;1200,1200-1000,)))</f>
        <v>0</v>
      </c>
      <c r="C219" s="981" t="s">
        <v>2187</v>
      </c>
      <c r="D219" s="637">
        <f>B219*10/100</f>
        <v>0</v>
      </c>
    </row>
    <row r="220" spans="1:4">
      <c r="A220" s="1262" t="s">
        <v>141</v>
      </c>
      <c r="B220" s="981"/>
      <c r="C220" s="981"/>
      <c r="D220" s="1263">
        <f>SUM(D218:D219)</f>
        <v>0</v>
      </c>
    </row>
    <row r="221" spans="1:4">
      <c r="A221" s="818"/>
      <c r="B221" s="1264"/>
      <c r="C221" s="818"/>
      <c r="D221" s="818"/>
    </row>
    <row r="222" spans="1:4">
      <c r="A222" s="818"/>
      <c r="B222" s="952"/>
      <c r="C222" s="818"/>
      <c r="D222" s="952"/>
    </row>
    <row r="223" spans="1:4">
      <c r="A223" s="818"/>
      <c r="B223" s="952"/>
      <c r="C223" s="818"/>
      <c r="D223" s="952"/>
    </row>
    <row r="224" spans="1:4">
      <c r="A224" s="1265"/>
      <c r="B224" s="818"/>
      <c r="C224" s="818"/>
      <c r="D224" s="952"/>
    </row>
    <row r="225" spans="1:4">
      <c r="A225" s="818"/>
      <c r="B225" s="818"/>
      <c r="C225" s="818"/>
      <c r="D225" s="818"/>
    </row>
    <row r="226" spans="1:4">
      <c r="A226" s="1266"/>
      <c r="B226" s="1260"/>
      <c r="C226" s="818"/>
      <c r="D226" s="818"/>
    </row>
    <row r="227" spans="1:4">
      <c r="A227" s="818"/>
      <c r="B227" s="952"/>
      <c r="C227" s="818"/>
      <c r="D227" s="952"/>
    </row>
    <row r="228" spans="1:4">
      <c r="A228" s="818"/>
      <c r="B228" s="952"/>
      <c r="C228" s="818"/>
      <c r="D228" s="952"/>
    </row>
    <row r="229" spans="1:4">
      <c r="A229" s="1265"/>
      <c r="B229" s="818"/>
      <c r="C229" s="818"/>
      <c r="D229" s="952"/>
    </row>
    <row r="230" spans="1:4">
      <c r="A230" s="818"/>
      <c r="B230" s="818"/>
      <c r="C230" s="818"/>
      <c r="D230" s="818"/>
    </row>
    <row r="231" spans="1:4">
      <c r="A231" s="1266"/>
      <c r="B231" s="1260"/>
      <c r="C231" s="818"/>
      <c r="D231" s="818"/>
    </row>
    <row r="232" spans="1:4">
      <c r="A232" s="818"/>
      <c r="B232" s="952"/>
      <c r="C232" s="818"/>
      <c r="D232" s="952"/>
    </row>
    <row r="233" spans="1:4">
      <c r="A233" s="818"/>
      <c r="B233" s="952"/>
      <c r="C233" s="818"/>
      <c r="D233" s="952"/>
    </row>
    <row r="234" spans="1:4">
      <c r="A234" s="1265"/>
      <c r="B234" s="818"/>
      <c r="C234" s="818"/>
      <c r="D234" s="952"/>
    </row>
    <row r="235" spans="1:4">
      <c r="A235" s="818"/>
      <c r="B235" s="818"/>
      <c r="C235" s="818"/>
      <c r="D235" s="818"/>
    </row>
    <row r="236" spans="1:4">
      <c r="A236" s="1266"/>
      <c r="B236" s="1260"/>
      <c r="C236" s="818"/>
      <c r="D236" s="818"/>
    </row>
    <row r="237" spans="1:4">
      <c r="A237" s="818"/>
      <c r="B237" s="952"/>
      <c r="C237" s="818"/>
      <c r="D237" s="952"/>
    </row>
    <row r="238" spans="1:4">
      <c r="A238" s="818"/>
      <c r="B238" s="952"/>
      <c r="C238" s="818"/>
      <c r="D238" s="952"/>
    </row>
    <row r="239" spans="1:4">
      <c r="A239" s="1265"/>
      <c r="B239" s="818"/>
      <c r="C239" s="818"/>
      <c r="D239" s="952"/>
    </row>
  </sheetData>
  <sheetProtection sheet="1" objects="1" scenarios="1"/>
  <mergeCells count="1">
    <mergeCell ref="B3:C3"/>
  </mergeCells>
  <conditionalFormatting sqref="C132 D132:D133 D141:D146 C137:C146 E131:I133 D127:I128 A49 C7:I7 C13:I13 B3:C3 C49:I49 C21:I46 C14:C19 C179:I180 C177:I177 D15:I19 C10:I11 C83:I83 C112:I112 C114:I115 C95:I99 C101:I110 C74:I81 C90:I93 C85:I88 C54:I71 C117:I120 D138:I138 C170:I171 C148:I148">
    <cfRule type="cellIs" dxfId="128" priority="2" operator="equal">
      <formula>0</formula>
    </cfRule>
  </conditionalFormatting>
  <conditionalFormatting sqref="B21:B47 B145:B148 E149:I151 C47:I47 B50:C50 B13:B19 B49 B177:B182 B170:B172 B54:B120">
    <cfRule type="cellIs" dxfId="127" priority="3" operator="equal">
      <formula>0</formula>
    </cfRule>
  </conditionalFormatting>
  <conditionalFormatting sqref="B165:I165 B175:I175 B183:I184">
    <cfRule type="cellIs" dxfId="126" priority="4" operator="equal">
      <formula>0</formula>
    </cfRule>
  </conditionalFormatting>
  <conditionalFormatting sqref="A150">
    <cfRule type="cellIs" dxfId="125" priority="5" operator="equal">
      <formula>"Mehrbedarf nach § 27 (2) SGB II"</formula>
    </cfRule>
  </conditionalFormatting>
  <conditionalFormatting sqref="C150:D151">
    <cfRule type="cellIs" dxfId="124" priority="6" operator="notEqual">
      <formula>0</formula>
    </cfRule>
  </conditionalFormatting>
  <conditionalFormatting sqref="C161">
    <cfRule type="expression" dxfId="123" priority="7">
      <formula>$C$150&gt;0</formula>
    </cfRule>
  </conditionalFormatting>
  <conditionalFormatting sqref="A151">
    <cfRule type="cellIs" dxfId="122" priority="8" operator="equal">
      <formula>"./. Überschuss"</formula>
    </cfRule>
  </conditionalFormatting>
  <conditionalFormatting sqref="D161">
    <cfRule type="expression" dxfId="121" priority="9">
      <formula>$D$150&gt;0</formula>
    </cfRule>
  </conditionalFormatting>
  <conditionalFormatting sqref="C116:D116">
    <cfRule type="cellIs" dxfId="120" priority="10" operator="equal">
      <formula>0</formula>
    </cfRule>
  </conditionalFormatting>
  <conditionalFormatting sqref="E116:I116">
    <cfRule type="cellIs" dxfId="119" priority="11" operator="equal">
      <formula>0</formula>
    </cfRule>
  </conditionalFormatting>
  <conditionalFormatting sqref="C82:I82">
    <cfRule type="cellIs" dxfId="118" priority="12" operator="equal">
      <formula>0</formula>
    </cfRule>
  </conditionalFormatting>
  <conditionalFormatting sqref="C111:I111">
    <cfRule type="cellIs" dxfId="117" priority="13" operator="equal">
      <formula>0</formula>
    </cfRule>
  </conditionalFormatting>
  <conditionalFormatting sqref="C113:I113">
    <cfRule type="cellIs" dxfId="116" priority="14" operator="equal">
      <formula>0</formula>
    </cfRule>
  </conditionalFormatting>
  <conditionalFormatting sqref="C154:I157">
    <cfRule type="cellIs" dxfId="115" priority="15" operator="equal">
      <formula>0</formula>
    </cfRule>
  </conditionalFormatting>
  <conditionalFormatting sqref="B153:B158">
    <cfRule type="cellIs" dxfId="114" priority="16" operator="equal">
      <formula>0</formula>
    </cfRule>
  </conditionalFormatting>
  <conditionalFormatting sqref="A120">
    <cfRule type="expression" dxfId="113" priority="17">
      <formula>B120&gt;0</formula>
    </cfRule>
  </conditionalFormatting>
  <conditionalFormatting sqref="C147">
    <cfRule type="cellIs" dxfId="112" priority="18" operator="equal">
      <formula>0</formula>
    </cfRule>
  </conditionalFormatting>
  <conditionalFormatting sqref="D147">
    <cfRule type="cellIs" dxfId="111" priority="19" operator="equal">
      <formula>0</formula>
    </cfRule>
  </conditionalFormatting>
  <conditionalFormatting sqref="E147:I147">
    <cfRule type="cellIs" dxfId="110" priority="20" operator="equal">
      <formula>0</formula>
    </cfRule>
  </conditionalFormatting>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33</vt:i4>
      </vt:variant>
    </vt:vector>
  </HeadingPairs>
  <TitlesOfParts>
    <vt:vector size="54" baseType="lpstr">
      <vt:lpstr>Hinweise</vt:lpstr>
      <vt:lpstr>Eingabetabelle</vt:lpstr>
      <vt:lpstr>Zusatzeingaben</vt:lpstr>
      <vt:lpstr>Berechnung</vt:lpstr>
      <vt:lpstr>Wohngeld</vt:lpstr>
      <vt:lpstr>Kinderzuschlag</vt:lpstr>
      <vt:lpstr>Gutschein</vt:lpstr>
      <vt:lpstr>ZuschussKV</vt:lpstr>
      <vt:lpstr>Z</vt:lpstr>
      <vt:lpstr>einmaligesEK</vt:lpstr>
      <vt:lpstr>Berechnung mit Einmalzahlung</vt:lpstr>
      <vt:lpstr>EingabenÄnderungen</vt:lpstr>
      <vt:lpstr>Änderung</vt:lpstr>
      <vt:lpstr>Aufteilung</vt:lpstr>
      <vt:lpstr>Bedarfssätze</vt:lpstr>
      <vt:lpstr>A</vt:lpstr>
      <vt:lpstr>B</vt:lpstr>
      <vt:lpstr>AB</vt:lpstr>
      <vt:lpstr>Gemeindetabelle</vt:lpstr>
      <vt:lpstr>Rechenwerte WG</vt:lpstr>
      <vt:lpstr>§ 26</vt:lpstr>
      <vt:lpstr>BaWü</vt:lpstr>
      <vt:lpstr>Bayern</vt:lpstr>
      <vt:lpstr>Bedarfsstufen</vt:lpstr>
      <vt:lpstr>Berlin</vt:lpstr>
      <vt:lpstr>Brandenburg</vt:lpstr>
      <vt:lpstr>Bremen</vt:lpstr>
      <vt:lpstr>Berechnung!Druckbereich</vt:lpstr>
      <vt:lpstr>Eingabetabelle!Druckbereich</vt:lpstr>
      <vt:lpstr>Zusatzeingaben!Druckbereich</vt:lpstr>
      <vt:lpstr>Ehrenamt</vt:lpstr>
      <vt:lpstr>Ernährung</vt:lpstr>
      <vt:lpstr>Gemeinden</vt:lpstr>
      <vt:lpstr>Hamburg</vt:lpstr>
      <vt:lpstr>Hessen</vt:lpstr>
      <vt:lpstr>Jahreszahl</vt:lpstr>
      <vt:lpstr>Kinderzuschlag</vt:lpstr>
      <vt:lpstr>KKinderzuschlag</vt:lpstr>
      <vt:lpstr>KVZuschlag</vt:lpstr>
      <vt:lpstr>MeckPom</vt:lpstr>
      <vt:lpstr>Mietstufen</vt:lpstr>
      <vt:lpstr>Niedersachsen</vt:lpstr>
      <vt:lpstr>NRW</vt:lpstr>
      <vt:lpstr>RLP</vt:lpstr>
      <vt:lpstr>Saanhalt</vt:lpstr>
      <vt:lpstr>Saarland</vt:lpstr>
      <vt:lpstr>Sachsen</vt:lpstr>
      <vt:lpstr>Schleswig</vt:lpstr>
      <vt:lpstr>Thüringen</vt:lpstr>
      <vt:lpstr>VersPausch</vt:lpstr>
      <vt:lpstr>Wohngeld</vt:lpstr>
      <vt:lpstr>Wohngeldabzug</vt:lpstr>
      <vt:lpstr>WWPauschale</vt:lpstr>
      <vt:lpstr>Zuschuss§26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H.Müller</dc:creator>
  <cp:lastModifiedBy>Horst</cp:lastModifiedBy>
  <cp:revision>203</cp:revision>
  <dcterms:created xsi:type="dcterms:W3CDTF">2009-12-27T11:04:37Z</dcterms:created>
  <dcterms:modified xsi:type="dcterms:W3CDTF">2022-08-01T17:42:14Z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